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6840" yWindow="2370" windowWidth="12360" windowHeight="9015" tabRatio="768" activeTab="2"/>
    <workbookView xWindow="480" yWindow="120" windowWidth="18720" windowHeight="11265" firstSheet="2" activeTab="6"/>
  </bookViews>
  <sheets>
    <sheet name="Input" sheetId="51" r:id="rId1"/>
    <sheet name="APC portfolio inputs" sheetId="118" r:id="rId2"/>
    <sheet name="Age Pension Calculator" sheetId="93" r:id="rId3"/>
    <sheet name="Settings" sheetId="101" r:id="rId4"/>
    <sheet name="Regular income pricing" sheetId="116" r:id="rId5"/>
    <sheet name="Spend planner" sheetId="123" r:id="rId6"/>
    <sheet name="Age Pension additional calcs" sheetId="114" r:id="rId7"/>
    <sheet name="Terms of use" sheetId="84" r:id="rId8"/>
    <sheet name="Age Pension report" sheetId="115" r:id="rId9"/>
    <sheet name="New portfolio strategy outline" sheetId="121" r:id="rId10"/>
    <sheet name="Test Sheet" sheetId="58" r:id="rId11"/>
    <sheet name="Term Pricing" sheetId="110" state="hidden" r:id="rId12"/>
    <sheet name="Assumptions" sheetId="8" r:id="rId13"/>
    <sheet name="Deterministic Output" sheetId="54" r:id="rId14"/>
    <sheet name="Deterministic Output VicSup" sheetId="97" r:id="rId15"/>
    <sheet name="Admin Settings" sheetId="85" r:id="rId16"/>
    <sheet name="Projections" sheetId="117" state="hidden" r:id="rId17"/>
    <sheet name="Your case study" sheetId="122" state="hidden" r:id="rId18"/>
    <sheet name="SocialSecuritySettings" sheetId="34" r:id="rId19"/>
  </sheets>
  <functionGroups builtInGroupCount="17"/>
  <externalReferences>
    <externalReference r:id="rId20"/>
  </externalReferences>
  <definedNames>
    <definedName name="_xlnm._FilterDatabase" localSheetId="1" hidden="1">'APC portfolio inputs'!$V$49:$W$49</definedName>
    <definedName name="_xlnm._FilterDatabase" localSheetId="4" hidden="1">'Regular income pricing'!$B$12:$H$172</definedName>
    <definedName name="AA">'[1]Step 1 - Personal information'!$E$9</definedName>
    <definedName name="ABPBalancePerson1">Input!$D$40</definedName>
    <definedName name="ABPBalancePerson1PortA">'APC portfolio inputs'!$E$40</definedName>
    <definedName name="ABPBalancePerson1PortB">'APC portfolio inputs'!$P$40</definedName>
    <definedName name="ABPBalancePerson2">Input!$E$40</definedName>
    <definedName name="ABPBalancePerson2PortA">'APC portfolio inputs'!$F$40</definedName>
    <definedName name="ABPBalancePerson2PortB">'APC portfolio inputs'!$Q$40</definedName>
    <definedName name="ABPDefensive">'Test Sheet'!$I$5</definedName>
    <definedName name="ABPGrandfatheredPaymentPerson1">Input!$D$44</definedName>
    <definedName name="ABPGrandfatheredPaymentPerson1PortA">'APC portfolio inputs'!$E$44</definedName>
    <definedName name="ABPGrandfatheredPaymentPerson1PortB">'APC portfolio inputs'!$P$44</definedName>
    <definedName name="ABPGrandfatheredPaymentPerson2">Input!$E$44</definedName>
    <definedName name="ABPGrandfatheredPaymentPerson2PortA">'APC portfolio inputs'!$F$44</definedName>
    <definedName name="ABPGrandfatheredPaymentPerson2PortB">'APC portfolio inputs'!$Q$44</definedName>
    <definedName name="ABPGrandfatheredPerson1">Input!$D$41</definedName>
    <definedName name="ABPGrandfatheredPerson1PortA">'APC portfolio inputs'!$E$41</definedName>
    <definedName name="ABPGrandfatheredPerson1PortB">'APC portfolio inputs'!$P$41</definedName>
    <definedName name="ABPGrandfatheredPerson2">Input!$E$41</definedName>
    <definedName name="ABPGrandfatheredPerson2PortA">'APC portfolio inputs'!$F$41</definedName>
    <definedName name="ABPGrandfatheredPerson2PortB">'APC portfolio inputs'!$Q$41</definedName>
    <definedName name="ABPGrandfatheredPPPerson1">Input!$D$42</definedName>
    <definedName name="ABPGrandfatheredPPPerson1PortA">'APC portfolio inputs'!$E$42</definedName>
    <definedName name="ABPGrandfatheredPPPerson1PortB">'APC portfolio inputs'!$P$42</definedName>
    <definedName name="ABPGrandfatheredPPPerson2">Input!$E$42</definedName>
    <definedName name="ABPGrandfatheredPPPerson2PortA">'APC portfolio inputs'!$F$42</definedName>
    <definedName name="ABPGrandfatheredPPPerson2PortB">'APC portfolio inputs'!$Q$42</definedName>
    <definedName name="ABPGrowth">'Test Sheet'!$H$5</definedName>
    <definedName name="ABPPlatformFee">Input!$F$150</definedName>
    <definedName name="ABPRelevantNumberPerson1">Input!$D$43</definedName>
    <definedName name="ABPRelevantNumberPerson1PortA">'APC portfolio inputs'!$E$43</definedName>
    <definedName name="ABPRelevantNumberPerson1PortB">'APC portfolio inputs'!$P$43</definedName>
    <definedName name="ABPRelevantNumberPerson2">Input!$E$43</definedName>
    <definedName name="ABPRelevantNumberPerson2PortA">'APC portfolio inputs'!$F$43</definedName>
    <definedName name="ABPRelevantNumberPerson2PortB">'APC portfolio inputs'!$Q$43</definedName>
    <definedName name="ABPReturn">'Test Sheet'!$J$6</definedName>
    <definedName name="ABPServiceFee">Input!$D$145</definedName>
    <definedName name="ABPServiceFeeIndex">Input!$D$146</definedName>
    <definedName name="ABPServiceFeeIndexPortA">'APC portfolio inputs'!$E$146</definedName>
    <definedName name="ABPServiceFeeIndexPortB">'APC portfolio inputs'!$P$146</definedName>
    <definedName name="ABPServiceFeePortA">'APC portfolio inputs'!$E$145</definedName>
    <definedName name="ABPServiceFeePortB">'APC portfolio inputs'!$P$145</definedName>
    <definedName name="ABPTotal">'Test Sheet'!$J$5</definedName>
    <definedName name="actualAgePens">'Test Sheet'!$AO$31</definedName>
    <definedName name="actualAgePensMin">'Test Sheet'!$AQ$31</definedName>
    <definedName name="actualEnergySupp">'Test Sheet'!$AN$31</definedName>
    <definedName name="actualMBR">'Test Sheet'!$AL$31</definedName>
    <definedName name="actualPensSupp">'Test Sheet'!$AM$31</definedName>
    <definedName name="AdvisorFee11">'Test Sheet'!$DB$31</definedName>
    <definedName name="AdvisorFee12">'Test Sheet'!$DS$31</definedName>
    <definedName name="AdvisorFee13">'Test Sheet'!$EJ$31</definedName>
    <definedName name="AdvisorFee21">'Test Sheet'!$GN$31</definedName>
    <definedName name="AdvisorFee22">'Test Sheet'!$HE$31</definedName>
    <definedName name="AdvisorFee23">'Test Sheet'!$HV$31</definedName>
    <definedName name="AdvisorFeeIndexed">Assumptions!$K$19</definedName>
    <definedName name="AdvisorFeeOngoing11" localSheetId="0">Input!$D$63</definedName>
    <definedName name="AdvisorFeeOngoing12" localSheetId="0">Input!$D$88</definedName>
    <definedName name="AdvisorFeeOngoing13">Input!$D$75</definedName>
    <definedName name="AdvisorFeeOngoing21" localSheetId="0">Input!$E$63</definedName>
    <definedName name="AdvisorFeeOngoing22" localSheetId="0">Input!$E$88</definedName>
    <definedName name="AdvisorFeeOngoing23">Input!$E$75</definedName>
    <definedName name="AdvisorFeeOngoingPercent12">Input!$D$86</definedName>
    <definedName name="AdvisorFeeOngoingPercent22">Input!$E$86</definedName>
    <definedName name="AdvisorFeeUpfront11" localSheetId="0">Input!$D$62</definedName>
    <definedName name="AdvisorFeeUpfront12" localSheetId="0">Input!$D$87</definedName>
    <definedName name="AdvisorFeeUpfront21" localSheetId="0">Input!$E$62</definedName>
    <definedName name="AdvisorFeeUpfront22" localSheetId="0">Input!$E$87</definedName>
    <definedName name="AdvisorFeeUpfrontPercent12">Input!$D$85</definedName>
    <definedName name="AdvisorFeeUpfrontPercent13">Input!$D$74</definedName>
    <definedName name="AdvisorFeeUpfrontPercent22">Input!$E$85</definedName>
    <definedName name="AdvisorFeeUpfrontPercent23">Input!$E$74</definedName>
    <definedName name="AgePensionCumulative" localSheetId="14">OFFSET('Deterministic Output VicSup'!$U$3,,,COUNT('Deterministic Output VicSup'!$U:$U),1)</definedName>
    <definedName name="AgePensionCumulative">OFFSET('Deterministic Output'!$U$3,,,COUNT('Deterministic Output'!$U:$U),1)</definedName>
    <definedName name="AgeQualificationDOBBrackets">SocialSecuritySettings!$A$7:$C$21</definedName>
    <definedName name="AgeQualificationLimits" localSheetId="18">SocialSecuritySettings!$A$6:$C$21</definedName>
    <definedName name="ALTTable">Assumptions!$D$17</definedName>
    <definedName name="ALTYear">Assumptions!$B$17</definedName>
    <definedName name="AnnualIncomeLimits" localSheetId="18">SocialSecuritySettings!$A$25:$C$27</definedName>
    <definedName name="AnnualisedAWOTE">Assumptions!$J$39</definedName>
    <definedName name="AnnualSpend" localSheetId="10">'Test Sheet'!$K$31</definedName>
    <definedName name="AnnuitiesInFee" localSheetId="0">Input!$D$149</definedName>
    <definedName name="AnnuitiesInFeeTerm">Input!$E$149</definedName>
    <definedName name="Annuity" localSheetId="10">'Test Sheet'!$P$31</definedName>
    <definedName name="Annuity_BM11">'Test Sheet'!$CQ$23</definedName>
    <definedName name="Annuity_BM12">'Test Sheet'!$DH$23</definedName>
    <definedName name="Annuity_BM13">'Test Sheet'!$DY$23</definedName>
    <definedName name="Annuity_BM21">'Test Sheet'!$GC$23</definedName>
    <definedName name="Annuity_BM22">'Test Sheet'!$GT$23</definedName>
    <definedName name="Annuity_BM23">'Test Sheet'!$HK$23</definedName>
    <definedName name="Annuity_GIY11">'Test Sheet'!$CQ$25</definedName>
    <definedName name="Annuity_GIY12">'Test Sheet'!$DH$25</definedName>
    <definedName name="Annuity_GIY13">'Test Sheet'!$DY$25</definedName>
    <definedName name="Annuity_GIY21">'Test Sheet'!$GC$25</definedName>
    <definedName name="Annuity_GIY22">'Test Sheet'!$GT$25</definedName>
    <definedName name="Annuity_GIY23">'Test Sheet'!$HK$25</definedName>
    <definedName name="Annuity_PP11">'Test Sheet'!$CQ$24</definedName>
    <definedName name="Annuity_PP12">'Test Sheet'!$DH$24</definedName>
    <definedName name="Annuity_PP13">'Test Sheet'!$DY$24</definedName>
    <definedName name="Annuity_PP21">'Test Sheet'!$GC$24</definedName>
    <definedName name="Annuity_PP22">'Test Sheet'!$GT$24</definedName>
    <definedName name="Annuity_PP23">'Test Sheet'!$HK$24</definedName>
    <definedName name="Annuity_type" localSheetId="10">'Test Sheet'!$CO$27,'Test Sheet'!$DF$27,'Test Sheet'!$EN$27,'Test Sheet'!$FD$27,'Test Sheet'!$GA$27,'Test Sheet'!$GR$27,'Test Sheet'!$HZ$27,'Test Sheet'!$IP$27,'Test Sheet'!$DW$27,'Test Sheet'!$HI$27</definedName>
    <definedName name="Annuity_WG11">'Test Sheet'!$CQ$18</definedName>
    <definedName name="Annuity_WG12">'Test Sheet'!$DH$18</definedName>
    <definedName name="Annuity_WG13">'Test Sheet'!$DY$18</definedName>
    <definedName name="Annuity_WG21">'Test Sheet'!$GC$18</definedName>
    <definedName name="Annuity_WG22">'Test Sheet'!$GT$18</definedName>
    <definedName name="Annuity_WG23">'Test Sheet'!$HK$18</definedName>
    <definedName name="AnnuityAssetTest">'Test Sheet'!$BU$31</definedName>
    <definedName name="AnnuityAssetTest11">'Test Sheet'!$CX$31</definedName>
    <definedName name="AnnuityAssetTest12">'Test Sheet'!$DO$31</definedName>
    <definedName name="AnnuityAssetTest13">'Test Sheet'!$EF$31</definedName>
    <definedName name="AnnuityAssetTest21">'Test Sheet'!$GJ$31</definedName>
    <definedName name="AnnuityAssetTest22">'Test Sheet'!$HA$31</definedName>
    <definedName name="AnnuityAssetTest23">'Test Sheet'!$HR$31</definedName>
    <definedName name="AnnuityBM11">'Test Sheet'!$CQ$31</definedName>
    <definedName name="AnnuityBM12">'Test Sheet'!$DH$31</definedName>
    <definedName name="AnnuityBM13">'Test Sheet'!$DY$31</definedName>
    <definedName name="AnnuityBM21">'Test Sheet'!$GC$31</definedName>
    <definedName name="AnnuityBM22">'Test Sheet'!$GT$31</definedName>
    <definedName name="AnnuityBM23">'Test Sheet'!$HK$31</definedName>
    <definedName name="AnnuityCPI">Assumptions!$K$23</definedName>
    <definedName name="AnnuityDeathCV11">'Test Sheet'!$CW$31</definedName>
    <definedName name="AnnuityDeathCV12" localSheetId="10">'Test Sheet'!$DN$31</definedName>
    <definedName name="AnnuityDeathCV13">'Test Sheet'!$EE$31</definedName>
    <definedName name="AnnuityDeathCV21">'Test Sheet'!$GI$31</definedName>
    <definedName name="AnnuityDeathCV22">'Test Sheet'!$GZ$31</definedName>
    <definedName name="AnnuityDeathCV23">'Test Sheet'!$HQ$31</definedName>
    <definedName name="AnnuityDedAmt11">'Test Sheet'!$CY$31</definedName>
    <definedName name="AnnuityDedAmt12">'Test Sheet'!$DP$31</definedName>
    <definedName name="AnnuityDedAmt13">'Test Sheet'!$EG$31</definedName>
    <definedName name="AnnuityDedAmt21">'Test Sheet'!$GK$31</definedName>
    <definedName name="AnnuityDedAmt22">'Test Sheet'!$HB$31</definedName>
    <definedName name="AnnuityDedAmt23">'Test Sheet'!$HS$31</definedName>
    <definedName name="AnnuityDiscountRate11">'Test Sheet'!$CP$31</definedName>
    <definedName name="AnnuityDiscountRate12">'Test Sheet'!$DG$31</definedName>
    <definedName name="AnnuityDiscountRate13">'Test Sheet'!$DX$31</definedName>
    <definedName name="AnnuityDiscountRate21">'Test Sheet'!$GB$31</definedName>
    <definedName name="AnnuityDiscountRate22">'Test Sheet'!$GS$31</definedName>
    <definedName name="AnnuityDiscountRate23">'Test Sheet'!$HJ$31</definedName>
    <definedName name="AnnuityIncomeTest">'Test Sheet'!$BS$31</definedName>
    <definedName name="AnnuityIncTest11">'Test Sheet'!$CZ$31</definedName>
    <definedName name="AnnuityIncTest12" localSheetId="10">'Test Sheet'!$DQ$31</definedName>
    <definedName name="AnnuityIncTest13">'Test Sheet'!$EH$31</definedName>
    <definedName name="AnnuityIncTest21">'Test Sheet'!$GL$31</definedName>
    <definedName name="AnnuityIncTest22">'Test Sheet'!$HC$31</definedName>
    <definedName name="AnnuityIncTest23">'Test Sheet'!$HT$31</definedName>
    <definedName name="AnnuityIndexation11" localSheetId="0">Input!$D$57</definedName>
    <definedName name="AnnuityIndexation11" localSheetId="10">'Test Sheet'!$CQ$21</definedName>
    <definedName name="AnnuityIndexation12" localSheetId="0">Input!$D$81</definedName>
    <definedName name="AnnuityIndexation12" localSheetId="10">'Test Sheet'!$DH$21</definedName>
    <definedName name="AnnuityIndexation13" localSheetId="10">'Test Sheet'!$DY$21</definedName>
    <definedName name="AnnuityIndexation13">Input!$D$69</definedName>
    <definedName name="AnnuityIndexation21" localSheetId="0">Input!$E$57</definedName>
    <definedName name="AnnuityIndexation21">'Test Sheet'!$GC$21</definedName>
    <definedName name="AnnuityIndexation22" localSheetId="0">Input!$E$81</definedName>
    <definedName name="AnnuityIndexation22">'Test Sheet'!$GT$21</definedName>
    <definedName name="AnnuityIndexation23" localSheetId="10">'Test Sheet'!$HK$21</definedName>
    <definedName name="AnnuityIndexation23">Input!$E$69</definedName>
    <definedName name="AnnuityInitialPayment11">'Test Sheet'!$CQ$20</definedName>
    <definedName name="AnnuityInitialPayment12">'Test Sheet'!$DH$20</definedName>
    <definedName name="AnnuityInitialPayment13">'Test Sheet'!$DY$20</definedName>
    <definedName name="AnnuityInitialPayment21">'Test Sheet'!$GC$20</definedName>
    <definedName name="AnnuityInitialPayment22">'Test Sheet'!$GT$20</definedName>
    <definedName name="AnnuityInitialPayment23">'Test Sheet'!$HK$20</definedName>
    <definedName name="AnnuityLinearCV11">'Test Sheet'!$CR$31</definedName>
    <definedName name="AnnuityLinearCV12">'Test Sheet'!$DI$31</definedName>
    <definedName name="AnnuityLinearCV13">'Test Sheet'!$DZ$31</definedName>
    <definedName name="AnnuityLinearCV21">'Test Sheet'!$GD$31</definedName>
    <definedName name="AnnuityLinearCV22">'Test Sheet'!$GU$31</definedName>
    <definedName name="AnnuityLinearCV23">'Test Sheet'!$HL$31</definedName>
    <definedName name="AnnuityLiquidityOption11">Input!$D$54</definedName>
    <definedName name="AnnuityLiquidityOption21">Input!$E$54</definedName>
    <definedName name="AnnuityMinCV11">'Test Sheet'!$CU$31</definedName>
    <definedName name="AnnuityMinCV12">'Test Sheet'!$DL$31</definedName>
    <definedName name="AnnuityMinCV13">'Test Sheet'!$EC$31</definedName>
    <definedName name="AnnuityMinCV21">'Test Sheet'!$GG$31</definedName>
    <definedName name="AnnuityMinCV22">'Test Sheet'!$GX$31</definedName>
    <definedName name="AnnuityMinCV23">'Test Sheet'!$HO$31</definedName>
    <definedName name="AnnuityMoney">'Age Pension Calculator'!$AZ$4</definedName>
    <definedName name="AnnuityNominalDiscountRate11">'Test Sheet'!$CO$31</definedName>
    <definedName name="AnnuityNominalDiscountRate12">'Test Sheet'!$DF$31</definedName>
    <definedName name="AnnuityNominalDiscountRate13">'Test Sheet'!$DW$31</definedName>
    <definedName name="AnnuityNominalDiscountRate21">'Test Sheet'!$GA$31</definedName>
    <definedName name="AnnuityNominalDiscountRate22">'Test Sheet'!$GR$31</definedName>
    <definedName name="AnnuityNominalDiscountRate23">'Test Sheet'!$HI$31</definedName>
    <definedName name="AnnuityPayment11">'Test Sheet'!$DA$31</definedName>
    <definedName name="AnnuityPayment12">'Test Sheet'!$DR$31</definedName>
    <definedName name="AnnuityPayment13">'Test Sheet'!$EI$31</definedName>
    <definedName name="AnnuityPayment21">'Test Sheet'!$GM$31</definedName>
    <definedName name="AnnuityPayment22">'Test Sheet'!$HD$31</definedName>
    <definedName name="AnnuityPayment23">'Test Sheet'!$HU$31</definedName>
    <definedName name="AnnuityPlatformFee">'Test Sheet'!$AT$31</definedName>
    <definedName name="AnnuityPmt11" localSheetId="0">Input!$D$55</definedName>
    <definedName name="AnnuityPmt12" localSheetId="0">Input!$D$79</definedName>
    <definedName name="AnnuityPmt13">Input!$D$67</definedName>
    <definedName name="AnnuityPmt21" localSheetId="0">Input!$E$55</definedName>
    <definedName name="AnnuityPmt22" localSheetId="0">Input!$E$79</definedName>
    <definedName name="AnnuityPmt23">Input!$E$67</definedName>
    <definedName name="AnnuityPP11" localSheetId="0">Input!$D$60</definedName>
    <definedName name="AnnuityPP12" localSheetId="0">Input!$D$82</definedName>
    <definedName name="AnnuityPP13">Input!$D$72</definedName>
    <definedName name="AnnuityPP21" localSheetId="0">Input!$E$60</definedName>
    <definedName name="AnnuityPP22" localSheetId="0">Input!$E$82</definedName>
    <definedName name="AnnuityPP23">Input!$E$72</definedName>
    <definedName name="AnnuityPVCurrent11">'Test Sheet'!$CS$31</definedName>
    <definedName name="AnnuityPVCurrent12">'Test Sheet'!$DJ$31</definedName>
    <definedName name="AnnuityPVCurrent13">'Test Sheet'!$EA$31</definedName>
    <definedName name="AnnuityPVCurrent21">'Test Sheet'!$GE$31</definedName>
    <definedName name="AnnuityPVCurrent22">'Test Sheet'!$GV$31</definedName>
    <definedName name="AnnuityPVCurrent23">'Test Sheet'!$HM$31</definedName>
    <definedName name="AnnuityPVIRR11">'Test Sheet'!$CT$31</definedName>
    <definedName name="AnnuityPVIRR12">'Test Sheet'!$DK$31</definedName>
    <definedName name="AnnuityPVIRR13">'Test Sheet'!$EB$31</definedName>
    <definedName name="AnnuityPVIRR21">'Test Sheet'!$GF$31</definedName>
    <definedName name="AnnuityPVIRR22">'Test Sheet'!$GW$31</definedName>
    <definedName name="AnnuityPVIRR23">'Test Sheet'!$HN$31</definedName>
    <definedName name="AnnuityReversion11" localSheetId="0">Input!$D$61</definedName>
    <definedName name="AnnuityReversion12" localSheetId="0">Input!$D$83</definedName>
    <definedName name="AnnuityReversion13">Input!$D$73</definedName>
    <definedName name="AnnuityReversion21" localSheetId="0">Input!$E$61</definedName>
    <definedName name="AnnuityReversion22" localSheetId="0">Input!$E$83</definedName>
    <definedName name="AnnuityReversion23">Input!$E$73</definedName>
    <definedName name="AnnuityRN11" localSheetId="10">'Test Sheet'!$CQ$22</definedName>
    <definedName name="AnnuityRN12" localSheetId="10">'Test Sheet'!$DH$22</definedName>
    <definedName name="AnnuityRN13">'Test Sheet'!$DY$22</definedName>
    <definedName name="AnnuityRN21" localSheetId="10">'Test Sheet'!$GC$22</definedName>
    <definedName name="AnnuityRN22" localSheetId="10">'Test Sheet'!$GT$22</definedName>
    <definedName name="AnnuityRN23">'Test Sheet'!$HK$22</definedName>
    <definedName name="annuityType11" localSheetId="0">Input!$D$53</definedName>
    <definedName name="AnnuityType11">'Test Sheet'!$CO$27</definedName>
    <definedName name="annuityType12" localSheetId="0">Input!$D$78</definedName>
    <definedName name="AnnuityType12">'Test Sheet'!$DF$27</definedName>
    <definedName name="AnnuityType13" localSheetId="10">'Test Sheet'!$DW$27</definedName>
    <definedName name="annuityType13">Input!$D$66</definedName>
    <definedName name="annuityType21" localSheetId="0">Input!$E$53</definedName>
    <definedName name="AnnuityType21">'Test Sheet'!$GA$27</definedName>
    <definedName name="annuityType22" localSheetId="0">Input!$E$78</definedName>
    <definedName name="AnnuityType22">'Test Sheet'!$GR$27</definedName>
    <definedName name="AnnuityType23" localSheetId="10">'Test Sheet'!$HI$27</definedName>
    <definedName name="annuityType23">Input!$E$66</definedName>
    <definedName name="AnnuityVal">'Test Sheet'!$B$15</definedName>
    <definedName name="AnnuityVolCV11">'Test Sheet'!$CV$31</definedName>
    <definedName name="AnnuityVolCV12" localSheetId="10">'Test Sheet'!$DM$31</definedName>
    <definedName name="AnnuityVolCV13">'Test Sheet'!$ED$31</definedName>
    <definedName name="AnnuityVolCV21">'Test Sheet'!$GH$31</definedName>
    <definedName name="AnnuityVolCV22">'Test Sheet'!$GY$31</definedName>
    <definedName name="AnnuityVolCV23">'Test Sheet'!$HP$31</definedName>
    <definedName name="APCAdviserName">'Age Pension report'!$L$6</definedName>
    <definedName name="APCAnnuityAllocation">'Age Pension Calculator'!$AZ$2</definedName>
    <definedName name="APCAnnuityPortfolioPerc">'Age Pension additional calcs'!$P$42</definedName>
    <definedName name="APCAssessableAssets">'Age Pension Calculator'!$AH$26</definedName>
    <definedName name="APCCashFlowDifferenceFD">'Age Pension additional calcs'!$P$39</definedName>
    <definedName name="APCClientName">'Age Pension report'!$L$4</definedName>
    <definedName name="APCDefensive">'Age Pension Calculator'!$T$33</definedName>
    <definedName name="APCEmploymentIncomePerson1">'Age Pension Calculator'!$V$67</definedName>
    <definedName name="APCEmploymentIncomePerson2">'Age Pension Calculator'!$V$72</definedName>
    <definedName name="APCExistingABPP1">Settings!$H$13</definedName>
    <definedName name="APCExistingABPP2">Settings!$H$15</definedName>
    <definedName name="APCExsistingDSSTypeP1">Settings!$L$13</definedName>
    <definedName name="APCExsistingDSSTypeP2">Settings!$L$15</definedName>
    <definedName name="APCExsistingPurchasePriceP1">Settings!$P$13</definedName>
    <definedName name="APCExsistingPurchasePriceP2">Settings!$P$15</definedName>
    <definedName name="APCExsistingRelevantNumberP1">Settings!$N$13</definedName>
    <definedName name="APCExsistingRelevantNumberP2">Settings!$N$15</definedName>
    <definedName name="APCGrowth">'Age Pension Calculator'!$X$33</definedName>
    <definedName name="APCHomeownerStatus">'Age Pension Calculator'!$V$11</definedName>
    <definedName name="APCNonSuperDeemed">'Age Pension Calculator'!$V$52</definedName>
    <definedName name="APCOtherIncome">'Age Pension Calculator'!$V$62</definedName>
    <definedName name="APCPensionBoostFD">'Age Pension additional calcs'!$P$37</definedName>
    <definedName name="APCPerson1DOB">'Age Pension Calculator'!$T$16</definedName>
    <definedName name="APCPerson1Sex">'Age Pension Calculator'!$X$14</definedName>
    <definedName name="APCPerson2DOB">'Age Pension Calculator'!$T$21</definedName>
    <definedName name="APCPerson2Sex">'Age Pension Calculator'!$X$19</definedName>
    <definedName name="APCPersonalAssets">'Age Pension Calculator'!$V$46</definedName>
    <definedName name="APCPortfolioValueDifferenceFD">'Age Pension additional calcs'!$P$35</definedName>
    <definedName name="APCProperty">'Age Pension Calculator'!$V$55</definedName>
    <definedName name="APCRent">'Age Pension Calculator'!$W$57</definedName>
    <definedName name="APCRequiredIncome">'Age Pension Calculator'!$V$26</definedName>
    <definedName name="APCYearsOfEmploymentPerson1">'Age Pension Calculator'!$X$69</definedName>
    <definedName name="APCYearsOfEmploymentPerson2">'Age Pension Calculator'!$X$74</definedName>
    <definedName name="ApportionedEntitlement">'Test Sheet'!$AH$16</definedName>
    <definedName name="AssessableAssets" localSheetId="14">'Deterministic Output VicSup'!$AA$3</definedName>
    <definedName name="AssessableAssets" localSheetId="10">'Test Sheet'!$AG$31</definedName>
    <definedName name="AssessableAssets">'Deterministic Output'!$AA$3</definedName>
    <definedName name="AssessableIncome" localSheetId="14">'Deterministic Output VicSup'!$AB$3</definedName>
    <definedName name="AssessableIncome" localSheetId="10">'Test Sheet'!$AE$31</definedName>
    <definedName name="AssessableIncome">'Deterministic Output'!$AB$3</definedName>
    <definedName name="AssetBrackets">SocialSecuritySettings!$B$41:$C$42</definedName>
    <definedName name="AssetTest" localSheetId="10">'Test Sheet'!$AH$31</definedName>
    <definedName name="AssetTestBrackets">SocialSecuritySettings!$B$41:$C$42</definedName>
    <definedName name="AssetTestLimits" localSheetId="18">SocialSecuritySettings!$A$40:$C$42</definedName>
    <definedName name="AssetTestLower">'Test Sheet'!$AI$31</definedName>
    <definedName name="AssetTestTaperRate">SocialSecuritySettings!$B$43</definedName>
    <definedName name="AWOTE" localSheetId="0">Input!$D$163</definedName>
    <definedName name="AWOTE" localSheetId="10">'Test Sheet'!$BG$31</definedName>
    <definedName name="AWOTEAmount">'Test Sheet'!$AK$31</definedName>
    <definedName name="AWOTEBenchmark">SocialSecuritySettings!$B$52</definedName>
    <definedName name="AWOTEInflator">'Test Sheet'!$J$31</definedName>
    <definedName name="AWOTEPercentage">'Test Sheet'!$BH$31</definedName>
    <definedName name="Balance11" localSheetId="10">'Test Sheet'!$CI$31</definedName>
    <definedName name="Balance21" localSheetId="10">'Test Sheet'!$FU$31</definedName>
    <definedName name="BondYield11">'Test Sheet'!$CN$31</definedName>
    <definedName name="BondYield22">'Test Sheet'!$FZ$31</definedName>
    <definedName name="CashDrawings">'Test Sheet'!$N$31</definedName>
    <definedName name="CashGrowth">'Test Sheet'!$C$19</definedName>
    <definedName name="CashRate">'Test Sheet'!$T$31</definedName>
    <definedName name="CentrelinkPmt" localSheetId="10">'Test Sheet'!$R$31</definedName>
    <definedName name="CentrelinkRates">SocialSecuritySettings!$B$47:$C$49</definedName>
    <definedName name="CGFLifeAdminFee">Assumptions!$K$28</definedName>
    <definedName name="CGFTermAdminFee">Assumptions!$J$28</definedName>
    <definedName name="ChalLLAnnuityPerson1">'Admin Settings'!$V$86</definedName>
    <definedName name="ChalLLAnnuityPerson2">'Admin Settings'!$V$87</definedName>
    <definedName name="ChalLLFrequencyPerson1">Input!$D$56</definedName>
    <definedName name="ChalLLFrequencyPerson1PortA">'APC portfolio inputs'!$E$56</definedName>
    <definedName name="ChalLLFrequencyPerson1PortB">'APC portfolio inputs'!$P$56</definedName>
    <definedName name="ChalLLFrequencyPerson2">Input!$E$56</definedName>
    <definedName name="ChalLLFrequencyPerson2PortA">'APC portfolio inputs'!$F$56</definedName>
    <definedName name="ChalLLFrequencyPerson2PortB">'APC portfolio inputs'!$Q$56</definedName>
    <definedName name="ChalLLIndexationPerson1">Input!$D$57</definedName>
    <definedName name="ChalLLIndexationPerson1PortA">'APC portfolio inputs'!$E$57</definedName>
    <definedName name="ChalLLIndexationPerson1PortB">'APC portfolio inputs'!$P$57</definedName>
    <definedName name="ChalLLIndexationPerson2">Input!$E$57</definedName>
    <definedName name="ChalLLIndexationPerson2PortA">'APC portfolio inputs'!$F$57</definedName>
    <definedName name="ChalLLIndexationPerson2PortB">'APC portfolio inputs'!$Q$57</definedName>
    <definedName name="ChalLLiquidityOptionPerson1">Input!$D$54</definedName>
    <definedName name="ChalLLiquidityOptionPerson1PortA">'APC portfolio inputs'!$E$54</definedName>
    <definedName name="ChalLLiquidityOptionPerson1PortB">'APC portfolio inputs'!$P$54</definedName>
    <definedName name="ChalLLiquidityOptionPerson2">Input!$E$54</definedName>
    <definedName name="ChalLLiquidityOptionPerson2PortA">'APC portfolio inputs'!$F$54</definedName>
    <definedName name="ChalLLiquidityOptionPerson2PortB">'APC portfolio inputs'!$Q$54</definedName>
    <definedName name="ChalLLOngoingASFPerson1">Input!$D$63</definedName>
    <definedName name="ChalLLOngoingASFPerson1PortA">'APC portfolio inputs'!$E$63</definedName>
    <definedName name="ChalLLOngoingASFPerson1PortB">'APC portfolio inputs'!$P$63</definedName>
    <definedName name="ChalLLOngoingASFPerson2">Input!$E$63</definedName>
    <definedName name="ChalLLOngoingASFPerson2PortA">'APC portfolio inputs'!$F$63</definedName>
    <definedName name="ChalLLOngoingASFPerson2PortB">'APC portfolio inputs'!$Q$63</definedName>
    <definedName name="ChalLLPaymentPerson1">Input!$D$55</definedName>
    <definedName name="ChalLLPaymentPerson1PortA">'APC portfolio inputs'!$E$55</definedName>
    <definedName name="ChalLLPaymentPerson1PortB">'APC portfolio inputs'!$P$55</definedName>
    <definedName name="ChalLLPaymentPerson2">Input!$E$55</definedName>
    <definedName name="ChalLLPaymentPerson2PortA">'APC portfolio inputs'!$F$55</definedName>
    <definedName name="ChalLLPaymentPerson2PortB">'APC portfolio inputs'!$Q$55</definedName>
    <definedName name="ChalLLPurchasePricePerson1">Input!$D$60</definedName>
    <definedName name="ChalLLPurchasePricePerson1PortA">'APC portfolio inputs'!$E$60</definedName>
    <definedName name="ChalLLPurchasePricePerson1PortB">'APC portfolio inputs'!$P$60</definedName>
    <definedName name="ChalLLPurchasePricePerson2">Input!$E$60</definedName>
    <definedName name="ChalLLPurchasePricePerson2PortA">'APC portfolio inputs'!$F$60</definedName>
    <definedName name="ChalLLPurchasePricePerson2PortB">'APC portfolio inputs'!$Q$60</definedName>
    <definedName name="ChalLLReversionaryPerson1">Input!$D$61</definedName>
    <definedName name="ChalLLReversionaryPerson1PortA">'APC portfolio inputs'!$E$61</definedName>
    <definedName name="ChalLLReversionaryPerson1PortB">'APC portfolio inputs'!$P$61</definedName>
    <definedName name="ChalLLReversionaryPerson2">Input!$E$61</definedName>
    <definedName name="ChalLLReversionaryPerson2PortA">'APC portfolio inputs'!$F$61</definedName>
    <definedName name="ChalLLReversionaryPerson2PortB">'APC portfolio inputs'!$Q$61</definedName>
    <definedName name="ChalLLUpfrontASFPerson1">Input!$D$62</definedName>
    <definedName name="ChalLLUpfrontASFPerson1PortA">'APC portfolio inputs'!$E$62</definedName>
    <definedName name="ChalLLUpfrontASFPerson1PortB">'APC portfolio inputs'!$P$62</definedName>
    <definedName name="ChalLLUpfrontASFPerson2">Input!$E$62</definedName>
    <definedName name="ChalLLUpfrontASFPerson2PortA">'APC portfolio inputs'!$F$62</definedName>
    <definedName name="ChalLLUpfrontASFPerson2PortB">'APC portfolio inputs'!$Q$62</definedName>
    <definedName name="ChalLLWithdrawalGteePerson1">Input!$D$59</definedName>
    <definedName name="ChalLLWithdrawalGteePerson1PortA">'APC portfolio inputs'!$E$59</definedName>
    <definedName name="ChalLLWithdrawalGteePerson1PortB">'APC portfolio inputs'!$P$59</definedName>
    <definedName name="ChalLLWithdrawalGteePerson2">Input!$E$59</definedName>
    <definedName name="ChalLLWithdrawalGteePerson2PortA">'APC portfolio inputs'!$F$59</definedName>
    <definedName name="ChalLLWithdrawalGteePerson2PortB">'APC portfolio inputs'!$Q$59</definedName>
    <definedName name="ChalLLWithdrawalPeriodPerson1">Input!$D$58</definedName>
    <definedName name="ChalLLWithdrawalPeriodPerson1PortA">'APC portfolio inputs'!$E$58</definedName>
    <definedName name="ChalLLWithdrawalPeriodPerson1PortB">'APC portfolio inputs'!$P$58</definedName>
    <definedName name="ChalLLWithdrawalPeriodPerson2">Input!$E$58</definedName>
    <definedName name="ChalLLWithdrawalPeriodPerson2PortA">'APC portfolio inputs'!$F$58</definedName>
    <definedName name="ChalLLWithdrawalPeriodPerson2PortB">'APC portfolio inputs'!$Q$58</definedName>
    <definedName name="ChalTermAGERPerson1">Input!$D$103</definedName>
    <definedName name="ChalTermAGERPerson1PortA">'APC portfolio inputs'!$E$103</definedName>
    <definedName name="ChalTermAGERPerson1PortB">'APC portfolio inputs'!$P$103</definedName>
    <definedName name="ChalTermAGERPerson2">Input!$E$103</definedName>
    <definedName name="ChalTermAGERPerson2PortA">'APC portfolio inputs'!$F$103</definedName>
    <definedName name="ChalTermAGERPerson2PortB">'APC portfolio inputs'!$Q$103</definedName>
    <definedName name="ChalTermFrequencyPerson1">Input!$D$98</definedName>
    <definedName name="ChalTermFrequencyPerson1PortA">'APC portfolio inputs'!$E$98</definedName>
    <definedName name="ChalTermFrequencyPerson1PortB">'APC portfolio inputs'!$P$98</definedName>
    <definedName name="ChalTermFrequencyPerson2">Input!$E$98</definedName>
    <definedName name="ChalTermFrequencyPerson2PortA">'APC portfolio inputs'!$F$98</definedName>
    <definedName name="ChalTermFrequencyPerson2PortB">'APC portfolio inputs'!$Q$98</definedName>
    <definedName name="ChalTermIndexationPerson1">Input!$D$99</definedName>
    <definedName name="ChalTermIndexationPerson1PortA">'APC portfolio inputs'!$E$99</definedName>
    <definedName name="ChalTermIndexationPerson1PortB">'APC portfolio inputs'!$P$99</definedName>
    <definedName name="ChalTermIndexationPerson2">Input!$E$99</definedName>
    <definedName name="ChalTermIndexationPerson2PortA">'APC portfolio inputs'!$F$99</definedName>
    <definedName name="ChalTermIndexationPerson2PortB">'APC portfolio inputs'!$Q$99</definedName>
    <definedName name="ChalTermOngoingASFPerson1">Input!$D$105</definedName>
    <definedName name="ChalTermOngoingASFPerson1PortA">'APC portfolio inputs'!$E$105</definedName>
    <definedName name="ChalTermOngoingASFPerson1PortB">'APC portfolio inputs'!$P$105</definedName>
    <definedName name="ChalTermOngoingASFPerson2">Input!$E$105</definedName>
    <definedName name="ChalTermOngoingASFPerson2PortA">'APC portfolio inputs'!$F$105</definedName>
    <definedName name="ChalTermOngoingASFPerson2PortB">'APC portfolio inputs'!$Q$105</definedName>
    <definedName name="ChalTermPaymentPerson1">Input!$D$97</definedName>
    <definedName name="ChalTermPaymentPerson1PortA">'APC portfolio inputs'!$E$97</definedName>
    <definedName name="ChalTermPaymentPerson1PortB">'APC portfolio inputs'!$P$97</definedName>
    <definedName name="ChalTermPaymentPerson2">Input!$E$97</definedName>
    <definedName name="ChalTermPaymentPerson2PortA">'APC portfolio inputs'!$F$97</definedName>
    <definedName name="ChalTermPaymentPerson2PortB">'APC portfolio inputs'!$Q$97</definedName>
    <definedName name="ChalTermPurchasePricePerson1">Input!$D$100</definedName>
    <definedName name="ChalTermPurchasePricePerson1PortA">'APC portfolio inputs'!$E$100</definedName>
    <definedName name="ChalTermPurchasePricePerson1PortB">'APC portfolio inputs'!$P$100</definedName>
    <definedName name="ChalTermPurchasePricePerson2">Input!$E$100</definedName>
    <definedName name="ChalTermPurchasePricePerson2PortA">'APC portfolio inputs'!$F$100</definedName>
    <definedName name="ChalTermPurchasePricePerson2PortB">'APC portfolio inputs'!$Q$100</definedName>
    <definedName name="ChalTermRCVPerson1">Input!$D$96</definedName>
    <definedName name="ChalTermRCVPerson1PortA">'APC portfolio inputs'!$E$96</definedName>
    <definedName name="ChalTermRCVPerson1PortB">'APC portfolio inputs'!$P$96</definedName>
    <definedName name="ChalTermRCVPerson2">Input!$E$96</definedName>
    <definedName name="ChalTermRCVPerson2PortA">'APC portfolio inputs'!$F$96</definedName>
    <definedName name="ChalTermRCVPerson2PortB">'APC portfolio inputs'!$Q$96</definedName>
    <definedName name="ChalTermReversionaryPerson1">Input!$D$102</definedName>
    <definedName name="ChalTermReversionaryPerson1PortA">'APC portfolio inputs'!$E$102</definedName>
    <definedName name="ChalTermReversionaryPerson1PortB">'APC portfolio inputs'!$P$102</definedName>
    <definedName name="ChalTermReversionaryPerson2">Input!$E$102</definedName>
    <definedName name="ChalTermReversionaryPerson2PortA">'APC portfolio inputs'!$F$102</definedName>
    <definedName name="ChalTermReversionaryPerson2PortB">'APC portfolio inputs'!$Q$102</definedName>
    <definedName name="ChalTermTermPerson1">Input!$D$101</definedName>
    <definedName name="ChalTermTermPerson1PortA">'APC portfolio inputs'!$E$101</definedName>
    <definedName name="ChalTermTermPerson1PortB">'APC portfolio inputs'!$P$101</definedName>
    <definedName name="ChalTermTermPerson2">Input!$E$101</definedName>
    <definedName name="ChalTermTermPerson2PortA">'APC portfolio inputs'!$F$101</definedName>
    <definedName name="ChalTermTermPerson2PortB">'APC portfolio inputs'!$Q$101</definedName>
    <definedName name="ChalTermUpfrontASFPerson1">Input!$D$104</definedName>
    <definedName name="ChalTermUpfrontASFPerson1PortA">'APC portfolio inputs'!$E$104</definedName>
    <definedName name="ChalTermUpfrontASFPerson1PortB">'APC portfolio inputs'!$P$104</definedName>
    <definedName name="ChalTermUpfrontASFPerson2">Input!$E$104</definedName>
    <definedName name="ChalTermUpfrontASFPerson2PortA">'APC portfolio inputs'!$F$104</definedName>
    <definedName name="ChalTermUpfrontASFPerson2PortB">'APC portfolio inputs'!$Q$104</definedName>
    <definedName name="ChartOutputs">'Age Pension additional calcs'!$C$14:$E$28</definedName>
    <definedName name="CILifetimeFrequencyPerson1">Input!$D$80</definedName>
    <definedName name="CILifetimeFrequencyPerson1PortA">'APC portfolio inputs'!$E$80</definedName>
    <definedName name="CILifetimeFrequencyPerson1PortB">'APC portfolio inputs'!$P$80</definedName>
    <definedName name="CILifetimeFrequencyPerson2">Input!$E$80</definedName>
    <definedName name="CILifetimeFrequencyPerson2PortA">'APC portfolio inputs'!$F$80</definedName>
    <definedName name="CILifetimeFrequencyPerson2PortB">'APC portfolio inputs'!$Q$80</definedName>
    <definedName name="CILifetimeIndexationPerson1">Input!$D$81</definedName>
    <definedName name="CILifetimeIndexationPerson1PortA">'APC portfolio inputs'!$E$81</definedName>
    <definedName name="CILifetimeIndexationPerson1PortB">'APC portfolio inputs'!$P$81</definedName>
    <definedName name="CILIfetimeIndexationPerson2">Input!$E$81</definedName>
    <definedName name="CILIfetimeIndexationPerson2PortA">'APC portfolio inputs'!$F$81</definedName>
    <definedName name="CILifetimeIndexationPerson2PortB">'APC portfolio inputs'!$Q$81</definedName>
    <definedName name="CILifetimeOASFDolPerson1">Input!$D$88</definedName>
    <definedName name="CILifetimeOASFDolPerson1PortA">'APC portfolio inputs'!$E$88</definedName>
    <definedName name="CILifetimeOASFDolPerson1PortB">'APC portfolio inputs'!$P$88</definedName>
    <definedName name="CILifetimeOASFDolPerson2">Input!$E$88</definedName>
    <definedName name="CILifetimeOASFDolPerson2PortA">'APC portfolio inputs'!$F$88</definedName>
    <definedName name="CILifetimeOASFDolPerson2PortB">'APC portfolio inputs'!$Q$88</definedName>
    <definedName name="CILifetimeOASFPercPerson1">Input!$D$86</definedName>
    <definedName name="CILifetimeOASFPercPerson1PortA">'APC portfolio inputs'!$E$86</definedName>
    <definedName name="CILifetimeOASFPercPerson1PortB">'APC portfolio inputs'!$P$86</definedName>
    <definedName name="CILifetimeOASFPercPerson2">Input!$E$86</definedName>
    <definedName name="CILifetimeOASFPercPerson2PortA">'APC portfolio inputs'!$F$86</definedName>
    <definedName name="CILifetimeOASFPercPerson2PortB">'APC portfolio inputs'!$Q$86</definedName>
    <definedName name="CILifetimeOASFPerson1PortA">'APC portfolio inputs'!$E$86</definedName>
    <definedName name="CILifetimePaymentPeriodPerson1">Input!$D$84</definedName>
    <definedName name="CILifetimePaymentPeriodPerson1PortA">'APC portfolio inputs'!$E$84</definedName>
    <definedName name="CILifetimePaymentPeriodPerson1PortB">'APC portfolio inputs'!$P$84</definedName>
    <definedName name="CILifetimePaymentPeriodPerson2">Input!$E$84</definedName>
    <definedName name="CILifetimePaymentPeriodPerson2PortA">'APC portfolio inputs'!$F$84</definedName>
    <definedName name="CILifetimePaymentPeriodPerson2PortB">'APC portfolio inputs'!$Q$84</definedName>
    <definedName name="CILifetimePaymentPerson1">Input!$D$79</definedName>
    <definedName name="CILifetimePaymentPerson1PortA">'APC portfolio inputs'!$E$79</definedName>
    <definedName name="CILifetimePaymentPerson1PortB">'APC portfolio inputs'!$P$79</definedName>
    <definedName name="CILifetimePaymentPerson2">Input!$E$79</definedName>
    <definedName name="CILifetimePaymentPerson2PortA">'APC portfolio inputs'!$F$79</definedName>
    <definedName name="CILifetimePaymentPerson2PortB">'APC portfolio inputs'!$Q$79</definedName>
    <definedName name="CILifetimePurchasePricePerson1">Input!$D$82</definedName>
    <definedName name="CILifetimePurchasePricePerson1PortA">'APC portfolio inputs'!$E$82</definedName>
    <definedName name="CILifetimePurchasePricePerson1PortB">'APC portfolio inputs'!$P$82</definedName>
    <definedName name="CILifetimePurchasePricePerson2">Input!$E$82</definedName>
    <definedName name="CILifetimePurchasePricePerson2PortA">'APC portfolio inputs'!$F$82</definedName>
    <definedName name="CILifetimePurchasePricePerson2PortB">'APC portfolio inputs'!$Q$82</definedName>
    <definedName name="CILifetimeReversionaryPerson1">Input!$D$83</definedName>
    <definedName name="CILifetimeReversionaryPerson1PortA">'APC portfolio inputs'!$E$83</definedName>
    <definedName name="CILifetimeReversionaryPerson1PortB">'APC portfolio inputs'!$P$83</definedName>
    <definedName name="CILifetimeReversionaryPerson2">Input!$E$83</definedName>
    <definedName name="CILifetimeReversionaryPerson2PortA">'APC portfolio inputs'!$F$83</definedName>
    <definedName name="CILifetimeReversionaryPerson2PortB">'APC portfolio inputs'!$Q$83</definedName>
    <definedName name="CILifetimeUASFDolPerson1">Input!$D$87</definedName>
    <definedName name="CILifetimeUASFDolPerson1PortA">'APC portfolio inputs'!$E$87</definedName>
    <definedName name="CILifetimeUASFDolPerson1PortB">'APC portfolio inputs'!$P$87</definedName>
    <definedName name="CILifetimeUASFDolPerson2">Input!$E$87</definedName>
    <definedName name="CILifetimeUASFDolPerson2PortA">'APC portfolio inputs'!$F$87</definedName>
    <definedName name="CILIfetimeUASFDolPerson2PortB">'APC portfolio inputs'!$Q$87</definedName>
    <definedName name="CILifetimeUASFPercPerson1">Input!$D$85</definedName>
    <definedName name="CILifetimeUASFPercPerson1PortA">'APC portfolio inputs'!$E$85</definedName>
    <definedName name="CILifetimeUASFPercPerson1PortB">'APC portfolio inputs'!$P$85</definedName>
    <definedName name="CILifetimeUASFPercPerson2">Input!$E$85</definedName>
    <definedName name="CILifetimeUASFPercPerson2PortA">'APC portfolio inputs'!$F$85</definedName>
    <definedName name="CILifetimeUASFPercPerson2PortB">'APC portfolio inputs'!$Q$85</definedName>
    <definedName name="CITermAGERPerson1">Input!$D$116</definedName>
    <definedName name="CITermAGERPerson1PortA">'APC portfolio inputs'!$E$116</definedName>
    <definedName name="CITermAGERPerson1PortB">'APC portfolio inputs'!$P$116</definedName>
    <definedName name="CITermAGERPerson2">Input!$E$116</definedName>
    <definedName name="CITermAGERPerson2PortA">'APC portfolio inputs'!$F$116</definedName>
    <definedName name="CITermAGERPerson2PortB">'APC portfolio inputs'!$Q$116</definedName>
    <definedName name="CITermFrequencyPerson1">Input!$D$111</definedName>
    <definedName name="CITermFrequencyPerson1PortA">'APC portfolio inputs'!$E$111</definedName>
    <definedName name="CITermFrequencyPerson1PortB">'APC portfolio inputs'!$P$111</definedName>
    <definedName name="CITermFrequencyPerson2">Input!$E$111</definedName>
    <definedName name="CITermFrequencyPerson2PortA">'APC portfolio inputs'!$F$111</definedName>
    <definedName name="CITermFrequencyPerson2PortB">'APC portfolio inputs'!$Q$111</definedName>
    <definedName name="CITermIndexationPerson1">Input!$D$112</definedName>
    <definedName name="CITermIndexationPerson1PortA">'APC portfolio inputs'!$E$112</definedName>
    <definedName name="CITermIndexationPerson1PortB">'APC portfolio inputs'!$P$112</definedName>
    <definedName name="CITermIndexationPerson2">Input!$E$112</definedName>
    <definedName name="CITermIndexationPerson2PortA">'APC portfolio inputs'!$F$112</definedName>
    <definedName name="CITermIndexationPerson2PortB">'APC portfolio inputs'!$Q$112</definedName>
    <definedName name="CITermOngoingASFDolPerson1">Input!$D$120</definedName>
    <definedName name="CITermOngoingASFDolPerson1PortA">'APC portfolio inputs'!$E$120</definedName>
    <definedName name="CITermOngoingASFDolPerson1PortB">'APC portfolio inputs'!$P$120</definedName>
    <definedName name="CITermOngoingASFDolPerson2">Input!$E$120</definedName>
    <definedName name="CITermOngoingASFDolPerson2PortA">'APC portfolio inputs'!$F$120</definedName>
    <definedName name="CITermOngoingASFDolPerson2PortB">'APC portfolio inputs'!$Q$120</definedName>
    <definedName name="CITermOngoingASFPercPerson1">Input!$D$118</definedName>
    <definedName name="CITermOngoingASFPercPerson1PortA">'APC portfolio inputs'!$E$118</definedName>
    <definedName name="CITermOngoingASFPercPerson1PortB">'APC portfolio inputs'!$P$118</definedName>
    <definedName name="CITermOngoingASFPercPerson2">Input!$E$118</definedName>
    <definedName name="CITermOngoingASFPercPerson2PortA">'APC portfolio inputs'!$F$118</definedName>
    <definedName name="CITermOngoingASFPercPerson2PortB">'APC portfolio inputs'!$Q$118</definedName>
    <definedName name="CITermPaymentPerson1">Input!$D$110</definedName>
    <definedName name="CITermPaymentPerson1PortA">'APC portfolio inputs'!$E$110</definedName>
    <definedName name="CITermPaymentPerson1PortB">'APC portfolio inputs'!$P$110</definedName>
    <definedName name="CITermPaymentPerson2">Input!$E$110</definedName>
    <definedName name="CITermPaymentPerson2PortA">'APC portfolio inputs'!$F$110</definedName>
    <definedName name="CITermPaymentPerson2PortB">'APC portfolio inputs'!$Q$110</definedName>
    <definedName name="CITermPurchasePricePerson1">Input!$D$113</definedName>
    <definedName name="CITermPurchasePricePerson1PortA">'APC portfolio inputs'!$E$113</definedName>
    <definedName name="CITermPurchasePricePerson1PortB">'APC portfolio inputs'!$P$113</definedName>
    <definedName name="CITermPurchasePricePerson2">Input!$E$113</definedName>
    <definedName name="CITermPurchasePricePerson2PortA">'APC portfolio inputs'!$F$113</definedName>
    <definedName name="CiTermPurchasePricePerson2PortB">'APC portfolio inputs'!$Q$113</definedName>
    <definedName name="CITermRCVPerson1">Input!$D$109</definedName>
    <definedName name="CITermRCVPerson1PortA">'APC portfolio inputs'!$E$109</definedName>
    <definedName name="CITermRCVPerson1PortB">'APC portfolio inputs'!$P$109</definedName>
    <definedName name="CITermRCVPerson2">Input!$E$109</definedName>
    <definedName name="CITermRCVPerson2PortA">'APC portfolio inputs'!$F$109</definedName>
    <definedName name="CITermRCVPerson2PortB">'APC portfolio inputs'!$Q$109</definedName>
    <definedName name="CITermReversionaryPerson1">Input!$D$115</definedName>
    <definedName name="CITermReversionaryPerson1PortA">'APC portfolio inputs'!$E$115</definedName>
    <definedName name="CITermReversionaryPerson1PortB">'APC portfolio inputs'!$P$115</definedName>
    <definedName name="CITermReversionaryPerson2">Input!$E$115</definedName>
    <definedName name="CITermReversionaryPerson2PortA">'APC portfolio inputs'!$F$115</definedName>
    <definedName name="CITermReversionaryPerson2PortB">'APC portfolio inputs'!$Q$115</definedName>
    <definedName name="CITermTermPerson1">Input!$D$114</definedName>
    <definedName name="CITermTermPerson1PortA">'APC portfolio inputs'!$E$114</definedName>
    <definedName name="CITermTermPerson1PortB">'APC portfolio inputs'!$P$114</definedName>
    <definedName name="CITermTermPerson2">Input!$E$114</definedName>
    <definedName name="CITermTermPerson2PortA">'APC portfolio inputs'!$F$114</definedName>
    <definedName name="CITermTermPerson2PortB">'APC portfolio inputs'!$Q$114</definedName>
    <definedName name="CITermUpfrontASFDolPerson1">Input!$D$119</definedName>
    <definedName name="CITermUpfrontASFDolPerson1PortA">'APC portfolio inputs'!$E$119</definedName>
    <definedName name="CITermUpfrontASFDolPerson1PortB">'APC portfolio inputs'!$P$119</definedName>
    <definedName name="CITermUpfrontASFDolPerson2">Input!$E$119</definedName>
    <definedName name="CITermUpfrontASFDolPerson2PortA">'APC portfolio inputs'!$F$119</definedName>
    <definedName name="CITermUpfrontASFDolPerson2PortB">'APC portfolio inputs'!$Q$119</definedName>
    <definedName name="CITermUpfrontASFPercPerson1">Input!$D$117</definedName>
    <definedName name="CITermUpfrontASFPercPerson1PortA">'APC portfolio inputs'!$E$117</definedName>
    <definedName name="CITermUpfrontASFPercPerson1PortB">'APC portfolio inputs'!$P$117</definedName>
    <definedName name="CITermUpfrontASFPercPerson2">Input!$E$117</definedName>
    <definedName name="CITermUpfrontASFPercPerson2PortA">'APC portfolio inputs'!$F$117</definedName>
    <definedName name="CITermUpfrontASFPercPerson2PortB">'APC portfolio inputs'!$Q$117</definedName>
    <definedName name="CombinedTaxableIncomeP1">'Age Pension additional calcs'!$AT$32</definedName>
    <definedName name="CombinedTaxableIncomeP2">'Age Pension additional calcs'!$AU$32</definedName>
    <definedName name="commInsure11" localSheetId="0">Input!$D$95</definedName>
    <definedName name="commInsure12" localSheetId="0">Input!$D$108</definedName>
    <definedName name="commInsure21" localSheetId="0">Input!$E$95</definedName>
    <definedName name="commInsure22" localSheetId="0">Input!$E$108</definedName>
    <definedName name="commInsureGP12" localSheetId="0">Input!$D$84</definedName>
    <definedName name="commInsureGP22" localSheetId="0">Input!$E$84</definedName>
    <definedName name="ComminsureLifeAdminFee">Assumptions!$K$29</definedName>
    <definedName name="ComminsureTermAdminFee">Assumptions!$J$29</definedName>
    <definedName name="Couple?" localSheetId="10">'Test Sheet'!$B$13</definedName>
    <definedName name="CoupleMBR">'Test Sheet'!$AJ$31</definedName>
    <definedName name="CPI" localSheetId="10">'Test Sheet'!$BI$31</definedName>
    <definedName name="CPIDeflator" localSheetId="10">'Test Sheet'!$I$31</definedName>
    <definedName name="CumulativeAgePension" localSheetId="14">'Deterministic Output VicSup'!$U$3</definedName>
    <definedName name="CumulativeAgePension">'Deterministic Output'!$U$3</definedName>
    <definedName name="CurrentDate" localSheetId="10">'Test Sheet'!$H$31</definedName>
    <definedName name="CurrentPensionPayment1">Settings!$R$13</definedName>
    <definedName name="CurrentPensionPayment2">Settings!$R$15</definedName>
    <definedName name="CustomPricing">Settings!$T$26</definedName>
    <definedName name="DateOfBirth1" localSheetId="0">Input!$D$14</definedName>
    <definedName name="DateOfBirth2" localSheetId="0">Input!$E$14</definedName>
    <definedName name="DateUseHybridAssetTest">'Test Sheet'!$AH$12</definedName>
    <definedName name="DeathCommutationValue">'Test Sheet'!$BQ$31</definedName>
    <definedName name="DedAmt11" localSheetId="10">'Test Sheet'!$CL$31</definedName>
    <definedName name="DedAmt21" localSheetId="10">'Test Sheet'!$FX$31</definedName>
    <definedName name="DeemableAssets" localSheetId="10">'Test Sheet'!$S$31</definedName>
    <definedName name="DeemedIncome" localSheetId="10">'Test Sheet'!$AC$31</definedName>
    <definedName name="DeemingChange" localSheetId="10">'Test Sheet'!$U$31</definedName>
    <definedName name="DeemingFloor">SocialSecuritySettings!$B$36</definedName>
    <definedName name="DeemingRates" localSheetId="18">SocialSecuritySettings!$A$31:$D$33</definedName>
    <definedName name="DeemingRatesBrackets">SocialSecuritySettings!$B$32:$D$33</definedName>
    <definedName name="DefensiveAllocation">Input!$D$47</definedName>
    <definedName name="DefensiveAllocationPortA">'APC portfolio inputs'!$E$47</definedName>
    <definedName name="DefensiveAllocationPortB">'APC portfolio inputs'!$P$47</definedName>
    <definedName name="DefensiveInvFee">Input!$F$152</definedName>
    <definedName name="DefensiveInvFeePortA">'APC portfolio inputs'!$G$152</definedName>
    <definedName name="DefensiveInvFeePortB">'APC portfolio inputs'!$R$152</definedName>
    <definedName name="DeferralPeriodX">Assumptions!$K$13</definedName>
    <definedName name="DefFee" localSheetId="0">Input!$F$152</definedName>
    <definedName name="DefinedNames">'APC portfolio inputs'!$V$7</definedName>
    <definedName name="DepreciationOnPersonalAssets" localSheetId="0">Input!$D$158</definedName>
    <definedName name="DesiredSpend" localSheetId="0">Input!$D$23</definedName>
    <definedName name="DetAnnuity" localSheetId="13">'Deterministic Output'!$B$3</definedName>
    <definedName name="DetAnnuity" localSheetId="14">'Deterministic Output VicSup'!$B$3</definedName>
    <definedName name="DetCash" localSheetId="14">'Deterministic Output VicSup'!$F$3</definedName>
    <definedName name="DetCash">'Deterministic Output'!$F$3</definedName>
    <definedName name="DetCashDrawings" localSheetId="14">'Deterministic Output VicSup'!$G$3</definedName>
    <definedName name="DetCashDrawings">'Deterministic Output'!$G$3</definedName>
    <definedName name="DetCentrelink" localSheetId="13">'Deterministic Output'!$A$3</definedName>
    <definedName name="DetCentrelink" localSheetId="14">'Deterministic Output VicSup'!$A$3</definedName>
    <definedName name="DetCPI" localSheetId="0">Input!$D$162</definedName>
    <definedName name="DetDefensive" localSheetId="0">Input!$D$157</definedName>
    <definedName name="DeterministicOutput" localSheetId="13">'Deterministic Output'!$A$3:$E$80,'Deterministic Output'!$J$3:$P$80,'Deterministic Output'!$U$3:$U$80,'Deterministic Output'!$H$3:$H$80,'Deterministic Output'!$AA$3:$AC$80,'Deterministic Output'!$F$3:$G$80</definedName>
    <definedName name="DeterministicOutput" localSheetId="14">'Deterministic Output VicSup'!$A$3:$E$80,'Deterministic Output VicSup'!$J$3:$P$80,'Deterministic Output VicSup'!$U$3:$U$80,'Deterministic Output VicSup'!$H$3:$H$80,'Deterministic Output VicSup'!$AA$3:$AC$80,'Deterministic Output VicSup'!$F$3:$G$80</definedName>
    <definedName name="DeterministicScenarioOutput">'Deterministic Output'!$A$1:$U$75</definedName>
    <definedName name="DetGrowth" localSheetId="0">Input!$D$156</definedName>
    <definedName name="DetNS" localSheetId="13">'Deterministic Output'!$C$3</definedName>
    <definedName name="DetNS" localSheetId="14">'Deterministic Output VicSup'!$C$3</definedName>
    <definedName name="DetOther" localSheetId="0">Input!$D$160</definedName>
    <definedName name="DetPension" localSheetId="13">'Deterministic Output'!$D$3</definedName>
    <definedName name="DetPension" localSheetId="14">'Deterministic Output VicSup'!$D$3</definedName>
    <definedName name="DetProperty" localSheetId="0">Input!$D$159</definedName>
    <definedName name="DetSpend" localSheetId="13">'Deterministic Output'!$E$3</definedName>
    <definedName name="DetSpend" localSheetId="14">'Deterministic Output VicSup'!$E$3</definedName>
    <definedName name="DetWealth" localSheetId="13">'Deterministic Output'!$P$3</definedName>
    <definedName name="DetWealth" localSheetId="14">'Deterministic Output VicSup'!$P$3</definedName>
    <definedName name="DOBPerson1">Input!$D$14</definedName>
    <definedName name="DOBPerson1PortA">'APC portfolio inputs'!$E$14</definedName>
    <definedName name="DOBPerson1PortB">'APC portfolio inputs'!$P$14</definedName>
    <definedName name="DOBPerson2">Input!$E$14</definedName>
    <definedName name="DOBPerson2PortA">'APC portfolio inputs'!$F$14</definedName>
    <definedName name="DOBPerson2PortB">'APC portfolio inputs'!$Q$14</definedName>
    <definedName name="EffectiveDate" localSheetId="18">SocialSecuritySettings!$A$3</definedName>
    <definedName name="EmployIncomePerson1">Input!$D$135</definedName>
    <definedName name="EmployIncomePerson1PortA">'APC portfolio inputs'!$E$135</definedName>
    <definedName name="EmployIncomePerson1PortB">'APC portfolio inputs'!$P$135</definedName>
    <definedName name="EmployIncomePerson2">Input!$E$135</definedName>
    <definedName name="EmployIncomePerson2PortA">'APC portfolio inputs'!$F$135</definedName>
    <definedName name="EmployIncomePerson2PortB">'APC portfolio inputs'!$Q$135</definedName>
    <definedName name="EmployIncomeRemainingYrsPerson1">Input!$D$136</definedName>
    <definedName name="EmployIncomeRemainingYrsPerson1PortA">'APC portfolio inputs'!$E$136</definedName>
    <definedName name="EmployIncomeRemainingYrsPerson1PortB">'APC portfolio inputs'!$P$136</definedName>
    <definedName name="EmployIncomeRemainingYrsPerson2">Input!$E$136</definedName>
    <definedName name="EmployIncomeRemainingYrsPerson2PortA">'APC portfolio inputs'!$F$136</definedName>
    <definedName name="EmployIncomeRemainingYrsPerson2PortB">'APC portfolio inputs'!$Q$136</definedName>
    <definedName name="EmploymentIncome">'Test Sheet'!$AY$31</definedName>
    <definedName name="EmploymentIncome1">'Test Sheet'!$B$10</definedName>
    <definedName name="EmploymentIncome2">'Test Sheet'!$C$10</definedName>
    <definedName name="EmploymentIncomeGrowth" localSheetId="0">Input!$D$167</definedName>
    <definedName name="EmploymentIncomeGrowthPortA">'APC portfolio inputs'!$E$167</definedName>
    <definedName name="EmploymentIncomeGrowthPortB">'APC portfolio inputs'!$P$167</definedName>
    <definedName name="ExcessTransferP1">'Age Pension additional calcs'!$AT$37</definedName>
    <definedName name="ExcessTransferP2">'Age Pension additional calcs'!$AU$37</definedName>
    <definedName name="FamilyReductionP1">'Age Pension additional calcs'!$AT$35</definedName>
    <definedName name="FamilyReductionP2">'Age Pension additional calcs'!$AU$35</definedName>
    <definedName name="FifteenYrBondRate">'Test Sheet'!$E$22</definedName>
    <definedName name="FifteenYrBondRateAtCommencement">Assumptions!$K$14</definedName>
    <definedName name="FinancialAssetsGrowth">'Test Sheet'!$C$17</definedName>
    <definedName name="FinancialAssetsIncome">'Test Sheet'!$D$17</definedName>
    <definedName name="FinancialInvestments" localSheetId="0">Input!$D$161</definedName>
    <definedName name="FinancialInvestmentsDeemed">Input!$D$129</definedName>
    <definedName name="FinancialInvestmentsDeemedPortA">'APC portfolio inputs'!$E$129</definedName>
    <definedName name="FinancialInvestmentsDeemedPortB">'APC portfolio inputs'!$P$129</definedName>
    <definedName name="FinancialInvestmentsReturns">Input!$D$161</definedName>
    <definedName name="FinancialInvestmentsReturnsPortA">'APC portfolio inputs'!$E$161</definedName>
    <definedName name="FinancialInvestmentsReturnsPortB">'APC portfolio inputs'!$P$161</definedName>
    <definedName name="FixedAWOTE">Input!$D$163</definedName>
    <definedName name="FixedAWOTEPortA">'APC portfolio inputs'!$E$163</definedName>
    <definedName name="FixedAWOTEPortB">'APC portfolio inputs'!$P$163</definedName>
    <definedName name="FixedCPI">Input!$D$162</definedName>
    <definedName name="FixedCPIPortA">'APC portfolio inputs'!$E$162</definedName>
    <definedName name="FixedCPIPortB">'APC portfolio inputs'!$P$162</definedName>
    <definedName name="FixedDefensiveReturn">Input!$D$157</definedName>
    <definedName name="FixedDefensiveReturnPortA">'APC portfolio inputs'!$E$157</definedName>
    <definedName name="FixedDefensiveReturnPortB">'APC portfolio inputs'!$P$157</definedName>
    <definedName name="FixedFee" localSheetId="0">Input!$D$145</definedName>
    <definedName name="FixedGrowthReturn">Input!$D$156</definedName>
    <definedName name="FixedGrowthReturnPortA">'APC portfolio inputs'!$E$156</definedName>
    <definedName name="FixedGrowthReturnPortB">'APC portfolio inputs'!$P$156</definedName>
    <definedName name="FlatFileLocation">Assumptions!$T$18</definedName>
    <definedName name="FlatFileName">Assumptions!$T$17</definedName>
    <definedName name="Gender1" localSheetId="0">Input!$D$16</definedName>
    <definedName name="Gender2" localSheetId="0">Input!$E$16</definedName>
    <definedName name="GrowthAllocation">Input!$D$46</definedName>
    <definedName name="GrowthAllocationPortA">'APC portfolio inputs'!$E$46</definedName>
    <definedName name="GrowthAllocationPortB">'APC portfolio inputs'!$P$46</definedName>
    <definedName name="GrowthFee" localSheetId="0">Input!$F$151</definedName>
    <definedName name="GrowthIncome">'Test Sheet'!$C$16:$C$20,'Test Sheet'!$D$18,'Test Sheet'!$E$18</definedName>
    <definedName name="GrowthInvFee">Input!$F$151</definedName>
    <definedName name="GrowthInvFeePortA">'APC portfolio inputs'!$G$151</definedName>
    <definedName name="GrowthInvFeePortB">'APC portfolio inputs'!$R$151</definedName>
    <definedName name="GuaranteePeriod11">Input!$D$58</definedName>
    <definedName name="GuaranteePeriod21">Input!$E$58</definedName>
    <definedName name="HasAnnuity1" localSheetId="0">Input!$K$50</definedName>
    <definedName name="HasAnnuity2" localSheetId="0">Input!$L$50</definedName>
    <definedName name="HasTermAnnuity1" localSheetId="0">Input!$K$91</definedName>
    <definedName name="HasTermAnnuity2" localSheetId="0">Input!$L$91</definedName>
    <definedName name="Homeowner" localSheetId="10">'Test Sheet'!$B$25</definedName>
    <definedName name="HomeownerStatus">Input!$D$18</definedName>
    <definedName name="HomeownerStatusPortA">'APC portfolio inputs'!$E$18</definedName>
    <definedName name="HomeownerStatusPortB">'APC portfolio inputs'!$P$18</definedName>
    <definedName name="IFundLifetimeFrequencyPerson1">Input!$D$68</definedName>
    <definedName name="IFundLifetimeFrequencyPerson1PortA">'APC portfolio inputs'!$E$68</definedName>
    <definedName name="IFundLifetimeFrequencyPerson1PortB">'APC portfolio inputs'!$P$68</definedName>
    <definedName name="IFundLifetimeFrequencyPerson2">Input!$E$68</definedName>
    <definedName name="IFundLifetimeFrequencyPerson2PortA">'APC portfolio inputs'!$F$68</definedName>
    <definedName name="IFundLifetimeFrequencyPerson2PortB">'APC portfolio inputs'!$Q$68</definedName>
    <definedName name="IFundLifetimeIndexationPerson1">Input!$D$69</definedName>
    <definedName name="IFundLifetimeIndexationPerson1PortA">'APC portfolio inputs'!$E$69</definedName>
    <definedName name="IFundLifetimeIndexationPerson1PortB">'APC portfolio inputs'!$P$69</definedName>
    <definedName name="IFundLifetimeIndexationPerson2">Input!$E$69</definedName>
    <definedName name="IFundLifetimeIndexationPerson2PortA">'APC portfolio inputs'!$F$69</definedName>
    <definedName name="IFundLifetimeIndexationPerson2PortB">'APC portfolio inputs'!$Q$69</definedName>
    <definedName name="IFundLifetimeOngoingASFPerson1">Input!$D$75</definedName>
    <definedName name="IFundLifetimeOngoingASFPerson1PortA">'APC portfolio inputs'!$E$75</definedName>
    <definedName name="IFundLifetimeOngoingASFPerson1PortB">'APC portfolio inputs'!$P$75</definedName>
    <definedName name="IFundLifetimeOngoingASFPerson2">Input!$E$75</definedName>
    <definedName name="IFundLifetimeOngoingASFPerson2PortA">'APC portfolio inputs'!$F$75</definedName>
    <definedName name="IFundLifetimeOngoingASFPerson2PortB">'APC portfolio inputs'!$Q$75</definedName>
    <definedName name="IFundLifetimePaymentPerson1">Input!$D$67</definedName>
    <definedName name="IFundLifetimePaymentPerson1PortA">'APC portfolio inputs'!$E$67</definedName>
    <definedName name="IFundLifetimePaymentPerson1PortB">'APC portfolio inputs'!$P$67</definedName>
    <definedName name="IFundLifetimePaymentPerson2">Input!$E$67</definedName>
    <definedName name="IFundLifetimePaymentPerson2PortA">'APC portfolio inputs'!$F$67</definedName>
    <definedName name="IFundLifetimePaymentPerson2PortB">'APC portfolio inputs'!$Q$67</definedName>
    <definedName name="IFundLifetimePurchasePricePerson1">Input!$D$72</definedName>
    <definedName name="IFundLifetimePurchasePricePerson1PortA">'APC portfolio inputs'!$E$72</definedName>
    <definedName name="IFundLifetimePurchasePricePerson1PortB">'APC portfolio inputs'!$P$72</definedName>
    <definedName name="IFundLIfetimePurchasePricePerson2">Input!$E$72</definedName>
    <definedName name="IFundLIfetimePurchasePricePerson2PortA">'APC portfolio inputs'!$F$72</definedName>
    <definedName name="IFundLifetimePurchasePricePerson2PortB">'APC portfolio inputs'!$Q$72</definedName>
    <definedName name="IFundLifetimeReversionaryPerson1">Input!$D$73</definedName>
    <definedName name="IFundLifetimeReversionaryPerson1PortA">'APC portfolio inputs'!$E$73</definedName>
    <definedName name="IFundLifetimeReversionaryPerson1PortB">'APC portfolio inputs'!$P$73</definedName>
    <definedName name="IFundLifetimeReversionaryPerson2">Input!$E$73</definedName>
    <definedName name="IFundLifetimeReversionaryPerson2PortA">'APC portfolio inputs'!$F$73</definedName>
    <definedName name="IFundLifetimeReversionaryPerson2PortB">'APC portfolio inputs'!$Q$73</definedName>
    <definedName name="IFundLifetimeUpfrontASFPerson1">Input!$D$74</definedName>
    <definedName name="IFundLifetimeUpfrontASFPerson1PortA">'APC portfolio inputs'!$E$74</definedName>
    <definedName name="IFundLifetimeUpfrontASFPerson1PortB">'APC portfolio inputs'!$P$74</definedName>
    <definedName name="IFundLIfetimeUpfrontASFPerson2">Input!$E$74</definedName>
    <definedName name="IFundLIfetimeUpfrontASFPerson2PortA">'APC portfolio inputs'!$F$74</definedName>
    <definedName name="IFundLifetimeUpfrontASFPerson2PortB">'APC portfolio inputs'!$Q$74</definedName>
    <definedName name="IFundLifetimeWithdrawalGteePerson1">Input!$D$71</definedName>
    <definedName name="IFundLifetimeWithdrawalGteePerson1PortA">'APC portfolio inputs'!$E$71</definedName>
    <definedName name="IFundLifetimeWithdrawalGteePerson1PortB">'APC portfolio inputs'!$P$71</definedName>
    <definedName name="IFundLifetimeWithdrawalGteePerson2">Input!$E$71</definedName>
    <definedName name="IFundLifetimeWithdrawalGteePerson2PortA">'APC portfolio inputs'!$F$71</definedName>
    <definedName name="IFundLifetimeWithdrawalGteePerson2PortB">'APC portfolio inputs'!$Q$71</definedName>
    <definedName name="IFundLifetimeWithdrawalPeriodPerson1">Input!$D$70</definedName>
    <definedName name="IFundLifetimeWithdrawalPeriodPerson1PortA">'APC portfolio inputs'!$E$70</definedName>
    <definedName name="IFundLifetimeWithdrawalPeriodPerson1PortB">'APC portfolio inputs'!$P$70</definedName>
    <definedName name="IFundLifetimeWithdrawalPeriodPerson2">Input!$E$70</definedName>
    <definedName name="IFundLifetimeWithdrawalPeriodPerson2PortA">'APC portfolio inputs'!$F$70</definedName>
    <definedName name="IFundLifetimeWithdrawalPeriodPerson2PortB">'APC portfolio inputs'!$Q$70</definedName>
    <definedName name="IllnessSeperated">'Age Pension additional calcs'!$AT$3</definedName>
    <definedName name="Income1" localSheetId="0">Input!$D$135</definedName>
    <definedName name="Income2" localSheetId="0">Input!$E$135</definedName>
    <definedName name="IncomeABP" localSheetId="14">OFFSET('Deterministic Output VicSup'!$D$3,,,COUNT('Deterministic Output VicSup'!$D:$D),1)</definedName>
    <definedName name="IncomeABP">OFFSET('Deterministic Output'!$D$3,,,COUNT('Deterministic Output'!$D:$D),1)</definedName>
    <definedName name="IncomeAgePension" localSheetId="14">OFFSET('Deterministic Output VicSup'!$A$3,,,COUNT('Deterministic Output VicSup'!$A:$A),1)</definedName>
    <definedName name="IncomeAgePension">OFFSET('Deterministic Output'!$A$3,,,COUNT('Deterministic Output'!$A:$A),1)</definedName>
    <definedName name="IncomeDecision">'Test Sheet'!$B$23</definedName>
    <definedName name="IncomeLifeAnnuity" localSheetId="14">OFFSET('Deterministic Output VicSup'!$B$3,,,COUNT('Deterministic Output VicSup'!$B:$B),1)</definedName>
    <definedName name="IncomeLifeAnnuity">OFFSET('Deterministic Output'!$B$3,,,COUNT('Deterministic Output'!$B:$B),1)</definedName>
    <definedName name="IncomeManagementDecision" localSheetId="0">Input!$D$25</definedName>
    <definedName name="IncomeMgt">Input!$D$25</definedName>
    <definedName name="IncomeMgtPortA">'APC portfolio inputs'!$E$25</definedName>
    <definedName name="IncomeMgtPortB">'APC portfolio inputs'!$P$25</definedName>
    <definedName name="IncomeOther" localSheetId="14">OFFSET('Deterministic Output VicSup'!$E$3,,,COUNT('Deterministic Output VicSup'!$E:$E),1)</definedName>
    <definedName name="IncomeOther">OFFSET('Deterministic Output'!$E$3,,,COUNT('Deterministic Output'!$E:$E),1)</definedName>
    <definedName name="IncomeTermAnnuity" localSheetId="14">OFFSET('Deterministic Output VicSup'!$C$3,,,COUNT('Deterministic Output VicSup'!$C:$C),1)</definedName>
    <definedName name="IncomeTermAnnuity">OFFSET('Deterministic Output'!$C$3,,,COUNT('Deterministic Output'!$C:$C),1)</definedName>
    <definedName name="IncomeTest" localSheetId="10">'Test Sheet'!$AF$31</definedName>
    <definedName name="IncTest11" localSheetId="10">'Test Sheet'!$CK$31</definedName>
    <definedName name="IncTest21" localSheetId="10">'Test Sheet'!$FW$31</definedName>
    <definedName name="IndexFixedFee" localSheetId="0">Input!$D$146</definedName>
    <definedName name="IndexFixedFee">Input!$D$146</definedName>
    <definedName name="InitialSpend" localSheetId="10">'Test Sheet'!$B$22</definedName>
    <definedName name="InvestmentProperty">Input!$D$128</definedName>
    <definedName name="InvestmentPropertyGrowth">'Test Sheet'!$C$18</definedName>
    <definedName name="InvestmentPropertyIncome">'Test Sheet'!$D$18</definedName>
    <definedName name="InvestmentPropertyPortA">'APC portfolio inputs'!$E$128</definedName>
    <definedName name="InvestmentPropertyPortB">'APC portfolio inputs'!$P$128</definedName>
    <definedName name="InvestmentPropertyRentalGrowth">'Test Sheet'!$E$18</definedName>
    <definedName name="InvestPropertyGrowth">Input!$D$159</definedName>
    <definedName name="InvestPropertyGrowthPortA">'APC portfolio inputs'!$E$159</definedName>
    <definedName name="InvestPropertyGrowthPortB">'APC portfolio inputs'!$P$159</definedName>
    <definedName name="IsVoluntary">'Test Sheet'!$BR$28</definedName>
    <definedName name="LEMinMax">Assumptions!$K$34</definedName>
    <definedName name="LERounding">Assumptions!$K$33</definedName>
    <definedName name="Life11Rev">'Test Sheet'!$CQ$17</definedName>
    <definedName name="Life12Rev">'Test Sheet'!$DH$17</definedName>
    <definedName name="Life13Rev">'Test Sheet'!$DY$17</definedName>
    <definedName name="Life21Rev">'Test Sheet'!$GC$17</definedName>
    <definedName name="Life22Rev">'Test Sheet'!$GT$17</definedName>
    <definedName name="Life23Rev">'Test Sheet'!$HK$17</definedName>
    <definedName name="LifeDeemed">Assumptions!$K$17</definedName>
    <definedName name="LifeExpectancy" localSheetId="18">SocialSecuritySettings!$A$58:$E$159</definedName>
    <definedName name="LifetimeAnnuityPlatformFee">Input!$D$149</definedName>
    <definedName name="LifetimeAnnuityPlatformFeePortA">'APC portfolio inputs'!$E$149</definedName>
    <definedName name="LifetimeAnnuityPlatformFeePortB">'APC portfolio inputs'!$P$149</definedName>
    <definedName name="lifetimeAnnuityValue" localSheetId="14">'Deterministic Output VicSup'!$J$3</definedName>
    <definedName name="lifetimeAnnuityValue">'Deterministic Output'!$J$3</definedName>
    <definedName name="LifetimeCfg">Input!$G$31</definedName>
    <definedName name="LifetimeCommInsure">Input!$G$32</definedName>
    <definedName name="LifetimeIIcfg">Input!$G$30</definedName>
    <definedName name="LiquidityOption1">'Test Sheet'!$CQ$27</definedName>
    <definedName name="LiquidityOption2">'Test Sheet'!$GC$27</definedName>
    <definedName name="lito_0">SocialSecuritySettings!$A$254</definedName>
    <definedName name="lito_l">SocialSecuritySettings!$B$254</definedName>
    <definedName name="lito_red">SocialSecuritySettings!$D$254</definedName>
    <definedName name="lito_u">SocialSecuritySettings!$C$254</definedName>
    <definedName name="LITOP1">'Age Pension additional calcs'!$AT$19</definedName>
    <definedName name="LITOP2">'Age Pension additional calcs'!$AU$19</definedName>
    <definedName name="LowerDeemingRate">'Test Sheet'!$V$31</definedName>
    <definedName name="LowerFamillyLimitP1">'Age Pension additional calcs'!$AT$33</definedName>
    <definedName name="LowerFamillyLimitP2">'Age Pension additional calcs'!$AU$33</definedName>
    <definedName name="LowerPercentile">Assumptions!$B$11</definedName>
    <definedName name="MarketA">'Deterministic Output'!$AI$1</definedName>
    <definedName name="MarketB">'Deterministic Output'!$BN$1</definedName>
    <definedName name="MarketC">'Deterministic Output'!$CK$1</definedName>
    <definedName name="MaxAgePension" localSheetId="10">'Test Sheet'!$AP$31</definedName>
    <definedName name="MaxEnergySupplementCouple">SocialSecuritySettings!$B$49</definedName>
    <definedName name="MaxPensSupplementCouple">SocialSecuritySettings!$B$48</definedName>
    <definedName name="MaxWorkBonus">SocialSecuritySettings!$B$177</definedName>
    <definedName name="MBRCouple">SocialSecuritySettings!$B$47</definedName>
    <definedName name="MedicareExmpCoupleP1">'Age Pension additional calcs'!$AT$31</definedName>
    <definedName name="MedicareExmpCoupleP2">'Age Pension additional calcs'!$AU$31</definedName>
    <definedName name="MedicareExmpSingleP1">'Age Pension additional calcs'!$AT$30</definedName>
    <definedName name="MedicareExmpSingleP2">'Age Pension additional calcs'!$AU$30</definedName>
    <definedName name="MedicareLevyP1">'Age Pension additional calcs'!$AT$39</definedName>
    <definedName name="MedicareLevyP2">'Age Pension additional calcs'!$AU$39</definedName>
    <definedName name="MedicareLvyCoupleP1">'Age Pension additional calcs'!$AT$29</definedName>
    <definedName name="MedicareLvyCoupleP2">'Age Pension additional calcs'!$AU$29</definedName>
    <definedName name="MedicareLvyP1">'Age Pension additional calcs'!$AT$26</definedName>
    <definedName name="MedicareLvyP2">'Age Pension additional calcs'!$AU$26</definedName>
    <definedName name="MedicareLvySingleP1">'Age Pension additional calcs'!$AT$28</definedName>
    <definedName name="MedicareLvySingleP2">'Age Pension additional calcs'!$AU$28</definedName>
    <definedName name="MinEnergySuppCouple">SocialSecuritySettings!$D$49</definedName>
    <definedName name="MinPensSuppCouple">SocialSecuritySettings!$D$48</definedName>
    <definedName name="ML_Lower_SaptoFamily">SocialSecuritySettings!$B$266</definedName>
    <definedName name="ML_lower_SAPTOSingle">SocialSecuritySettings!$B$265</definedName>
    <definedName name="ML_lower_stdFamily">SocialSecuritySettings!$D$266</definedName>
    <definedName name="ML_lower_stdSingle">SocialSecuritySettings!$D$265</definedName>
    <definedName name="ML_Rate">SocialSecuritySettings!$F$265</definedName>
    <definedName name="ML_upper_SaptoFamily">SocialSecuritySettings!$C$266</definedName>
    <definedName name="ML_upper_SAPTOSingle">SocialSecuritySettings!$C$265</definedName>
    <definedName name="ML_upper_stdFamily">SocialSecuritySettings!$E$266</definedName>
    <definedName name="ML_upper_stdSingle">SocialSecuritySettings!$E$265</definedName>
    <definedName name="MortalityImprovementFactor">Assumptions!$B$16</definedName>
    <definedName name="MortalityTable">Assumptions!$A$22:$G$122</definedName>
    <definedName name="Name1" localSheetId="0">Input!$D$13</definedName>
    <definedName name="Name2" localSheetId="0">Input!$E$13</definedName>
    <definedName name="NewAssetTest">'Test Sheet'!$AH$20</definedName>
    <definedName name="NewAssetTestDate">SocialSecuritySettings!$H$43</definedName>
    <definedName name="NewAssetTestTaperRate">SocialSecuritySettings!$E$43</definedName>
    <definedName name="NewAssetTestThreshold">'Test Sheet'!$AH$14</definedName>
    <definedName name="NewAssetTestThresholds">SocialSecuritySettings!$D$40:$F$42</definedName>
    <definedName name="NewEntitlement">'Test Sheet'!$AH$21</definedName>
    <definedName name="NewIncomeTest">'Test Sheet'!$AH$19</definedName>
    <definedName name="NewTaper">'Test Sheet'!$AI$14</definedName>
    <definedName name="NewWorkBonus">'Test Sheet'!$AH$22</definedName>
    <definedName name="NominalDeathDiscountRate11">'Test Sheet'!$ER$31</definedName>
    <definedName name="NominalDeathDiscountRate12">'Test Sheet'!$FH$31</definedName>
    <definedName name="NominalDeathDiscountRate21">'Test Sheet'!$ID$31</definedName>
    <definedName name="NominalDeathDiscountRate22">'Test Sheet'!$IT$31</definedName>
    <definedName name="NominalPlatformFeeInput11">'Test Sheet'!$DC$31</definedName>
    <definedName name="NominalPlatformFeeInput12">'Test Sheet'!$DT$31</definedName>
    <definedName name="NominalPlatformFeeInput13">'Test Sheet'!$EK$31</definedName>
    <definedName name="NominalPlatformFeeInput21">'Test Sheet'!$GO$31</definedName>
    <definedName name="NominalPlatformFeeInput22">'Test Sheet'!$HF$31</definedName>
    <definedName name="NominalPlatformFeeInput23">'Test Sheet'!$HW$31</definedName>
    <definedName name="NominalVoluntaryDiscountRate11">'Test Sheet'!$EO$31</definedName>
    <definedName name="NominalVoluntaryDiscountRate12">'Test Sheet'!$FE$31</definedName>
    <definedName name="NominalVoluntaryDiscountRate21">'Test Sheet'!$IA$31</definedName>
    <definedName name="NominalVoluntaryDiscountRate22">'Test Sheet'!$IQ$31</definedName>
    <definedName name="NonSuper" localSheetId="10">'Test Sheet'!$B$21</definedName>
    <definedName name="NonSuper0" localSheetId="10">'Test Sheet'!$B$31</definedName>
    <definedName name="nonSuperBalance" localSheetId="14">'Deterministic Output VicSup'!$M$3</definedName>
    <definedName name="nonSuperBalance">'Deterministic Output'!$M$3</definedName>
    <definedName name="NonSuperCash" localSheetId="14">'Deterministic Output VicSup'!$N$3</definedName>
    <definedName name="NonSuperCash">'Deterministic Output'!$N$3</definedName>
    <definedName name="NonSuperCashBalance">'Test Sheet'!$B$19</definedName>
    <definedName name="NonSuperCashIncome">'Test Sheet'!$D$19</definedName>
    <definedName name="NonSuperFinancial">'Test Sheet'!$B$17</definedName>
    <definedName name="NonSuperOther">'Test Sheet'!$B$20</definedName>
    <definedName name="NonSuperProperty">'Test Sheet'!$B$18</definedName>
    <definedName name="NSCash">'Test Sheet'!$BN$31</definedName>
    <definedName name="NSCashIncome">'Test Sheet'!$AX$31</definedName>
    <definedName name="NSFinancial">'Test Sheet'!$BL$31</definedName>
    <definedName name="NSFinancialInvestmentIncome">'Test Sheet'!$BD$31</definedName>
    <definedName name="NSInvestment" localSheetId="0">Input!$D$129</definedName>
    <definedName name="NSInvestmentYield">'Test Sheet'!$AW$31</definedName>
    <definedName name="NSNomCashIncome">'Test Sheet'!$BE$31</definedName>
    <definedName name="NSOther">'Test Sheet'!$BK$31</definedName>
    <definedName name="NSOtherAssetsIncome">'Test Sheet'!$BF$31</definedName>
    <definedName name="NSPersonal">'Test Sheet'!$BM$31</definedName>
    <definedName name="NSProperty" localSheetId="0">Input!$D$128</definedName>
    <definedName name="NSProperty" localSheetId="10">'Test Sheet'!$BJ$31</definedName>
    <definedName name="NSRental" localSheetId="0">Input!$F$128</definedName>
    <definedName name="NSRentalIncome" localSheetId="10">'Test Sheet'!$BC$31</definedName>
    <definedName name="NSTotalRealIncome">'Test Sheet'!$BB$31</definedName>
    <definedName name="NSYield">'Test Sheet'!$M$31</definedName>
    <definedName name="NumberAnnuitites1" localSheetId="0">Input!$K$51</definedName>
    <definedName name="NumberAnnuitites2" localSheetId="0">Input!$L$51</definedName>
    <definedName name="NumberOfSims">Assumptions!$B$2</definedName>
    <definedName name="NumberTerm1" localSheetId="0">Input!$K$92</definedName>
    <definedName name="NumberTerm2" localSheetId="0">Input!$L$92</definedName>
    <definedName name="OACash">'Test Sheet'!$S$5</definedName>
    <definedName name="OAFinancialInvestments">'Test Sheet'!$R$5</definedName>
    <definedName name="OAOther">'Test Sheet'!$Q$5</definedName>
    <definedName name="OAProperty">'Test Sheet'!$P$5</definedName>
    <definedName name="OATotal">'Test Sheet'!$T$5</definedName>
    <definedName name="OldAssetTest">'Test Sheet'!$AG$20</definedName>
    <definedName name="OldAssetTestThreshold">'Test Sheet'!$AH$13</definedName>
    <definedName name="OldEntitlement">'Test Sheet'!$AG$21</definedName>
    <definedName name="OldIncomeTest">'Test Sheet'!$AG$19</definedName>
    <definedName name="OldTaper">'Test Sheet'!$AI$13</definedName>
    <definedName name="OldWorkBonus">'Test Sheet'!$AG$22</definedName>
    <definedName name="OrdinaryIncomeFreeAreaLimits">SocialSecuritySettings!$B$26:$B$28</definedName>
    <definedName name="OtherAssets" localSheetId="0">Input!$D$127</definedName>
    <definedName name="OtherAssetsGrowth">'Test Sheet'!$C$20</definedName>
    <definedName name="OtherAssetsIncome">'Test Sheet'!$D$20</definedName>
    <definedName name="OtherAssetsPortA">'APC portfolio inputs'!$E$127</definedName>
    <definedName name="OtherAssetsPortB">'APC portfolio inputs'!$P$127</definedName>
    <definedName name="OtherAssetsReturn">Input!$D$160</definedName>
    <definedName name="OtherAssetsReturnPortA">'APC portfolio inputs'!$E$160</definedName>
    <definedName name="OtherAssetsReturnPortB">'APC portfolio inputs'!$P$160</definedName>
    <definedName name="OtherIncome" localSheetId="10">'Test Sheet'!$L$31</definedName>
    <definedName name="OtherIncome1" localSheetId="10">'Test Sheet'!$B$9</definedName>
    <definedName name="OtherIncome2" localSheetId="10">'Test Sheet'!$C$9</definedName>
    <definedName name="OtherIncomeGrowth" localSheetId="0">Input!$D$166</definedName>
    <definedName name="OtherIncomeGrowth">Input!$D$166</definedName>
    <definedName name="OtherIncomeGrowthPortA">'APC portfolio inputs'!$E$166</definedName>
    <definedName name="OtherIncomeGrowthPortB">'APC portfolio inputs'!$P$166</definedName>
    <definedName name="OtherIncomePerson1">Input!$D$140</definedName>
    <definedName name="OtherIncomePerson1PortA">'APC portfolio inputs'!$E$140</definedName>
    <definedName name="OtherIncomePerson1PortB">'APC portfolio inputs'!$P$140</definedName>
    <definedName name="OtherIncomePerson2">Input!$E$140</definedName>
    <definedName name="OtherIncomePerson2PortA">'APC portfolio inputs'!$F$140</definedName>
    <definedName name="OtherIncomePerson2PortB">'APC portfolio inputs'!$Q$140</definedName>
    <definedName name="OverFamilyLimitP1">'Age Pension additional calcs'!$AT$34</definedName>
    <definedName name="OverFamilyLimitP2">'Age Pension additional calcs'!$AU$34</definedName>
    <definedName name="OwnHome" localSheetId="0">Input!$D$18</definedName>
    <definedName name="P1ABPYr1" localSheetId="14">'Deterministic Output VicSup'!$R$7</definedName>
    <definedName name="P1ABPYr1">'Deterministic Output'!$R$7</definedName>
    <definedName name="P1Age">'Admin Settings'!$G$5</definedName>
    <definedName name="P1AgeValn" localSheetId="10">'Test Sheet'!$B$8</definedName>
    <definedName name="P1DOB" localSheetId="10">'Test Sheet'!$B$6</definedName>
    <definedName name="P1Gender" localSheetId="10">'Test Sheet'!$B$7</definedName>
    <definedName name="P1Name" localSheetId="10">'Test Sheet'!$B$5</definedName>
    <definedName name="P1Pensions" localSheetId="10">'Test Sheet'!$F$31</definedName>
    <definedName name="P1Super" localSheetId="10">'Test Sheet'!$D$31</definedName>
    <definedName name="P2ABPYr1" localSheetId="14">'Deterministic Output VicSup'!$R$9</definedName>
    <definedName name="P2ABPYr1">'Deterministic Output'!$R$9</definedName>
    <definedName name="P2Age">'Admin Settings'!$G$6</definedName>
    <definedName name="P2AgeValn" localSheetId="10">'Test Sheet'!$C$8</definedName>
    <definedName name="P2DOB" localSheetId="10">'Test Sheet'!$C$6</definedName>
    <definedName name="P2Gender" localSheetId="10">'Test Sheet'!$C$7</definedName>
    <definedName name="P2Name" localSheetId="10">'Test Sheet'!$C$5</definedName>
    <definedName name="P2Pensions" localSheetId="10">'Test Sheet'!$G$31</definedName>
    <definedName name="P2Super" localSheetId="10">'Test Sheet'!$E$31</definedName>
    <definedName name="PartialIndexationThreshold">Assumptions!$K$12</definedName>
    <definedName name="PaymentFrequency11" localSheetId="0">Input!$D$56</definedName>
    <definedName name="PaymentFrequency12" localSheetId="0">Input!$D$80</definedName>
    <definedName name="PaymentFrequency13">Input!$D$68</definedName>
    <definedName name="PaymentFrequency21" localSheetId="0">Input!$E$56</definedName>
    <definedName name="PaymentFrequency22" localSheetId="0">Input!$E$80</definedName>
    <definedName name="PaymentFrequency23">Input!$E$68</definedName>
    <definedName name="PaymentWarningTrigger">'Age Pension additional calcs'!$J$5</definedName>
    <definedName name="PensionBalance1">'Age Pension Calculator'!$V$38</definedName>
    <definedName name="PensionBalance2">'Age Pension Calculator'!$V$41</definedName>
    <definedName name="PensionStandards" localSheetId="18">SocialSecuritySettings!$B$165:$C$171</definedName>
    <definedName name="PensionStandards">SocialSecuritySettings!$B$165:$C$171</definedName>
    <definedName name="PensionTest" localSheetId="14">'Deterministic Output VicSup'!$AC$3</definedName>
    <definedName name="PensionTest">'Deterministic Output'!$AC$3</definedName>
    <definedName name="PensPmt11" localSheetId="10">'Test Sheet'!$CJ$31</definedName>
    <definedName name="PensPmt21" localSheetId="10">'Test Sheet'!$FV$31</definedName>
    <definedName name="PensPmts" localSheetId="10">'Test Sheet'!$O$31</definedName>
    <definedName name="PercentageAbp">Input!$D$35</definedName>
    <definedName name="PercentageLifeAnnuityCfg">Input!$D$31</definedName>
    <definedName name="PercentageLifeAnnuityCommInsure">Input!$D$32</definedName>
    <definedName name="PercentageLifeAnnuityIicfg">Input!$D$30</definedName>
    <definedName name="PercentageMaxAgePension" localSheetId="14">'Deterministic Output VicSup'!$H$3</definedName>
    <definedName name="PercentageMaxAgePension">'Deterministic Output'!$H$3</definedName>
    <definedName name="PercentageTermAnnuityCfg">Input!$D$33</definedName>
    <definedName name="PercentageTermAnnuityCommInsure">Input!$D$34</definedName>
    <definedName name="PeronalAssetsGrowth">'Test Sheet'!$C$16</definedName>
    <definedName name="PerpetuityIncome1" localSheetId="0">Input!$D$140</definedName>
    <definedName name="PerpetuityIncome2" localSheetId="0">Input!$E$140</definedName>
    <definedName name="Personal" localSheetId="10">'Test Sheet'!$B$16</definedName>
    <definedName name="PersonalAssets" localSheetId="0">Input!$D$126</definedName>
    <definedName name="PersonalAssetsIncome">'Test Sheet'!$D$16</definedName>
    <definedName name="PersonalAssetsPortA">'APC portfolio inputs'!$E$126</definedName>
    <definedName name="PersonalAssetsPortB">'APC portfolio inputs'!$P$126</definedName>
    <definedName name="PersonalAssetsReturn">Input!$D$158</definedName>
    <definedName name="PersonalAssetsReturnPortA">'APC portfolio inputs'!$E$158</definedName>
    <definedName name="PersonalAssetsReturnPortB">'APC portfolio inputs'!$P$158</definedName>
    <definedName name="PlatformFee" localSheetId="0">Input!$L$148</definedName>
    <definedName name="PlatformFeePerc">Input!$F$150</definedName>
    <definedName name="PlatformFeePercPortA">'APC portfolio inputs'!$G$150</definedName>
    <definedName name="PlatformFeePercPortB">'APC portfolio inputs'!$R$150</definedName>
    <definedName name="PlatformFeeTerm">Input!$M$148</definedName>
    <definedName name="PricingValidDate">'Regular income pricing'!$B$1</definedName>
    <definedName name="_xlnm.Print_Area" localSheetId="8">'Age Pension report'!$C$8:$AZ$295</definedName>
    <definedName name="_xlnm.Print_Area" localSheetId="0">Input!$A$1:$J$167</definedName>
    <definedName name="_xlnm.Print_Area" localSheetId="10">'Test Sheet'!$A$1:$JG$74</definedName>
    <definedName name="ProportionNewAssetTest">'Test Sheet'!$AH$15</definedName>
    <definedName name="Protection">Assumptions!$J$45</definedName>
    <definedName name="RandomSim">'Test Sheet'!$H$2</definedName>
    <definedName name="RealPlatformFee11">'Test Sheet'!$DE$31</definedName>
    <definedName name="RealPlatformFee12">'Test Sheet'!$DV$31</definedName>
    <definedName name="RealPlatformFee13">'Test Sheet'!$EM$31</definedName>
    <definedName name="RealPlatformFee21">'Test Sheet'!$GQ$31</definedName>
    <definedName name="RealPlatformFee22">'Test Sheet'!$HH$31</definedName>
    <definedName name="RealPlatformFee23">'Test Sheet'!$HY$31</definedName>
    <definedName name="RealPlatformFeeInput11">'Test Sheet'!$DD$31</definedName>
    <definedName name="RealPlatformFeeInput12">'Test Sheet'!$DU$31</definedName>
    <definedName name="RealPlatformFeeInput13">'Test Sheet'!$EL$31</definedName>
    <definedName name="RealPlatformFeeInput21">'Test Sheet'!$GP$31</definedName>
    <definedName name="RealPlatformFeeInput22">'Test Sheet'!$HG$31</definedName>
    <definedName name="RealPlatformFeeInput23">'Test Sheet'!$HX$31</definedName>
    <definedName name="ReducedEmploymentIncome">'Test Sheet'!$AB$31</definedName>
    <definedName name="Relationship">'Age Pension Calculator'!$V$8</definedName>
    <definedName name="RelevantNumbers" localSheetId="18">SocialSecuritySettings!$A$59:$G$159</definedName>
    <definedName name="RelNumber11" localSheetId="10">'Test Sheet'!$CM$31</definedName>
    <definedName name="RelNumber21" localSheetId="10">'Test Sheet'!$FY$31</definedName>
    <definedName name="RentalGrowth" localSheetId="0">Input!$D$165</definedName>
    <definedName name="RentalIncome">'Test Sheet'!$BA$31</definedName>
    <definedName name="RentalIncomeGrowth">Input!$D$165</definedName>
    <definedName name="RentalIncomeGrowthPortA">'APC portfolio inputs'!$E$165</definedName>
    <definedName name="RentalIncomeGrowthPortB">'APC portfolio inputs'!$P$165</definedName>
    <definedName name="RentIncome">Input!$F$128</definedName>
    <definedName name="RentIncomePortA">'APC portfolio inputs'!$G$128</definedName>
    <definedName name="RentIncomePortB">'APC portfolio inputs'!$R$128</definedName>
    <definedName name="ReqIncomeYr1">Input!$D$23</definedName>
    <definedName name="ReqIncomeYr1PortA">'APC portfolio inputs'!$E$23</definedName>
    <definedName name="ReqIncomeYr1PortB">'APC portfolio inputs'!$P$23</definedName>
    <definedName name="ResidualCapitalValue11" localSheetId="0">Input!$D$96</definedName>
    <definedName name="ResidualCapitalValue12" localSheetId="0">Input!$D$109</definedName>
    <definedName name="ResidualCapitalValue21" localSheetId="0">Input!$E$96</definedName>
    <definedName name="ResidualCapitalValue22" localSheetId="0">Input!$E$109</definedName>
    <definedName name="RICInputAgePension">Input!$G$25</definedName>
    <definedName name="RICInputMaxIncome" localSheetId="0">Input!$G$24</definedName>
    <definedName name="RICInputMinIncome" localSheetId="0">Input!$G$23</definedName>
    <definedName name="RICTestSheet_AnnuityInformation">'Test Sheet'!$CQ$17:$CQ$25,'Test Sheet'!$DH$17:$DH$25,'Test Sheet'!$EP$18:$EP$24,'Test Sheet'!$FF$18:$FF$24,'Test Sheet'!$GC$17:$GC$25,'Test Sheet'!$GT$17:$GT$25,'Test Sheet'!$IB$18:$IB$24,'Test Sheet'!$IR$18:$IR$24,'Test Sheet'!$HK$17:$HK$25,'Test Sheet'!$DY$17:$DY$25,'Test Sheet'!$EP$25,'Test Sheet'!$FF$25,'Test Sheet'!$IB$25,'Test Sheet'!$IR$25</definedName>
    <definedName name="S1OtherAssets">'Admin Settings'!$F$110</definedName>
    <definedName name="SAPTO_Red">SocialSecuritySettings!$E$258</definedName>
    <definedName name="SAPTOAdjRebateP1">'Age Pension additional calcs'!$AT$25</definedName>
    <definedName name="SAPTOAdjRebateP2">'Age Pension additional calcs'!$AU$25</definedName>
    <definedName name="SAPTOc_L">SocialSecuritySettings!$B$259</definedName>
    <definedName name="SAPTOc_O">SocialSecuritySettings!$D$259</definedName>
    <definedName name="SAPTOc_U">SocialSecuritySettings!$C$259</definedName>
    <definedName name="SAPTOcill_L">SocialSecuritySettings!$B$260</definedName>
    <definedName name="SAPTOcill_O">SocialSecuritySettings!$D$260</definedName>
    <definedName name="SAPTOcill_U">SocialSecuritySettings!$C$260</definedName>
    <definedName name="SAPTOCoupleCalcP1">'Age Pension additional calcs'!$AT$24</definedName>
    <definedName name="SAPTOCoupleCalcP2">'Age Pension additional calcs'!$AU$24</definedName>
    <definedName name="SAPTOCoupleP1">'Age Pension additional calcs'!$AT$22</definedName>
    <definedName name="SAPTOCoupleP2">'Age Pension additional calcs'!$AU$22</definedName>
    <definedName name="SAPTOEntlP1">'Age Pension additional calcs'!$AT$27</definedName>
    <definedName name="SAPTOEntlP2">'Age Pension additional calcs'!$AU$27</definedName>
    <definedName name="SAPTOP1">'Age Pension additional calcs'!$AT$20</definedName>
    <definedName name="SAPTOP2">'Age Pension additional calcs'!$AU$20</definedName>
    <definedName name="SAPTOPartnerUnusedP1">'Age Pension additional calcs'!$AT$23</definedName>
    <definedName name="SAPTOPartnerUnusedP2">'Age Pension additional calcs'!$AU$23</definedName>
    <definedName name="SAPTOs_L">SocialSecuritySettings!$B$258</definedName>
    <definedName name="SAPTOs_O">SocialSecuritySettings!$D$258</definedName>
    <definedName name="SAPTOs_U">SocialSecuritySettings!$C$258</definedName>
    <definedName name="SAPTOSingleP1">'Age Pension additional calcs'!$AT$21</definedName>
    <definedName name="SAPTOSingleP2">'Age Pension additional calcs'!$AU$21</definedName>
    <definedName name="SavedTestCases">Assumptions!$T$8</definedName>
    <definedName name="SavedTestCasesRIC">Assumptions!$T$9</definedName>
    <definedName name="SaveExcess">'Admin Settings'!$K$101</definedName>
    <definedName name="SBal" localSheetId="10">'Test Sheet'!$BO$31</definedName>
    <definedName name="ScenarioA">'Deterministic Output'!$AJ$1</definedName>
    <definedName name="ScenarioB">'Deterministic Output'!$BO$1</definedName>
    <definedName name="ScenarioC">'Deterministic Output'!$CL$1</definedName>
    <definedName name="SexPerson1">Input!$D$16</definedName>
    <definedName name="SexPerson1PortA">'APC portfolio inputs'!$E$16</definedName>
    <definedName name="SexPerson1PortB">'APC portfolio inputs'!$P$16</definedName>
    <definedName name="SexPerson2">Input!$E$16</definedName>
    <definedName name="SexPerson2PortA">'APC portfolio inputs'!$F$16</definedName>
    <definedName name="SexPerson2PortB">'APC portfolio inputs'!$Q$16</definedName>
    <definedName name="SimNumber">'Test Sheet'!$E$2</definedName>
    <definedName name="SingleProportion">SocialSecuritySettings!$B$53</definedName>
    <definedName name="SInvestmentIncome" localSheetId="10">'Test Sheet'!$AR$31</definedName>
    <definedName name="SMSFAccum1" localSheetId="0">Input!$D$40</definedName>
    <definedName name="SMSFAccum2" localSheetId="0">Input!$E$40</definedName>
    <definedName name="SMSFExpense" localSheetId="10">'Test Sheet'!$AU$31</definedName>
    <definedName name="SMSFGrandfathered1">Input!$D$41</definedName>
    <definedName name="SMSFGrandfathered2">Input!$E$41</definedName>
    <definedName name="SMSFInv1" localSheetId="0">Input!$D$46</definedName>
    <definedName name="SMSFInv2" localSheetId="0">Input!$D$47</definedName>
    <definedName name="SMSFPP1">Input!$D$42</definedName>
    <definedName name="SMSFPP2">Input!$E$42</definedName>
    <definedName name="SMSFRN1">Input!$D$43</definedName>
    <definedName name="SMSFRN2">Input!$E$43</definedName>
    <definedName name="SpousePortionP1">'Age Pension additional calcs'!$AT$36</definedName>
    <definedName name="SpousePortionP2">'Age Pension additional calcs'!$AU$36</definedName>
    <definedName name="SpouseShareP1">'Age Pension additional calcs'!$AT$38</definedName>
    <definedName name="SpouseShareP2">'Age Pension additional calcs'!$AU$38</definedName>
    <definedName name="SReturn" localSheetId="10">'Test Sheet'!$AV$31</definedName>
    <definedName name="StartMortality">Assumptions!$B$6</definedName>
    <definedName name="StartReturns">Assumptions!$B$8</definedName>
    <definedName name="SuggestedMinPayment">'Age Pension additional calcs'!$J$48</definedName>
    <definedName name="Super0" localSheetId="10">'Test Sheet'!$C$31</definedName>
    <definedName name="superBalance" localSheetId="14">'Deterministic Output VicSup'!$L$3</definedName>
    <definedName name="superBalance">'Deterministic Output'!$L$3</definedName>
    <definedName name="SuperIncome" localSheetId="10">'Test Sheet'!$AD$31</definedName>
    <definedName name="SuperReturn">'Test Sheet'!$AS$31</definedName>
    <definedName name="SuperStart" localSheetId="10">'Test Sheet'!$B$14</definedName>
    <definedName name="TaxableIncomePerson1">'Age Pension additional calcs'!$AT$16</definedName>
    <definedName name="TaxableIncomePerson2">'Age Pension additional calcs'!$AU$16</definedName>
    <definedName name="TaxBeforeOffsetsPerson1">'Age Pension additional calcs'!$AT$18</definedName>
    <definedName name="TaxBeforeOffsetsPerson2">'Age Pension additional calcs'!$AU$18</definedName>
    <definedName name="TaxTable_1">SocialSecuritySettings!$A$245:$C$251</definedName>
    <definedName name="TenYrBondRate">Assumptions!$K$9</definedName>
    <definedName name="Term11Rev">'Test Sheet'!$EP$18</definedName>
    <definedName name="Term12Rev">'Test Sheet'!$IB$18</definedName>
    <definedName name="Term21Rev">'Test Sheet'!$FF$18</definedName>
    <definedName name="Term22Rev">'Test Sheet'!$IR$18</definedName>
    <definedName name="TermAdvisorFee11">'Test Sheet'!$EZ$31</definedName>
    <definedName name="TermAdvisorFee12">'Test Sheet'!$FP$31</definedName>
    <definedName name="TermAdvisorFee21">'Test Sheet'!$IL$31</definedName>
    <definedName name="TermAdvisorFee22">'Test Sheet'!$JB$31</definedName>
    <definedName name="TermAdvisorFeeOngoing11" localSheetId="0">Input!$D$105</definedName>
    <definedName name="TermAdvisorFeeOngoing12" localSheetId="0">Input!$D$120</definedName>
    <definedName name="TermAdvisorFeeOngoing21" localSheetId="0">Input!$E$105</definedName>
    <definedName name="TermAdvisorFeeOngoing22" localSheetId="0">Input!$E$120</definedName>
    <definedName name="TermAdvisorFeeOngoingPercent12">Input!$D$118</definedName>
    <definedName name="TermAdvisorFeeOngoingPercent22">Input!$E$118</definedName>
    <definedName name="TermAdvisorFeeUpfront11" localSheetId="0">Input!$D$104</definedName>
    <definedName name="TermAdvisorFeeUpFront12" localSheetId="0">Input!$D$119</definedName>
    <definedName name="TermAdvisorFeeUpfront21" localSheetId="0">Input!$E$104</definedName>
    <definedName name="TermAdvisorFeeUpfront22" localSheetId="0">Input!$E$119</definedName>
    <definedName name="TermAdvisorFeeUpfrontPercent12">Input!$D$117</definedName>
    <definedName name="TermAdvisorFeeUpfrontPercent22">Input!$E$117</definedName>
    <definedName name="TermAnnuity_ER11">'Test Sheet'!$EP$25</definedName>
    <definedName name="TermAnnuity_ER12">'Test Sheet'!$FF$25</definedName>
    <definedName name="TermAnnuity_ER21">'Test Sheet'!$IB$25</definedName>
    <definedName name="TermAnnuity_ER22">'Test Sheet'!$IR$25</definedName>
    <definedName name="TermAnnuity_GIY11">'Test Sheet'!$EP$24</definedName>
    <definedName name="TermAnnuity_GIY12">'Test Sheet'!$FF$24</definedName>
    <definedName name="TermAnnuity_GIY21">'Test Sheet'!$IB$24</definedName>
    <definedName name="TermAnnuity_GIY22">'Test Sheet'!$IR$24</definedName>
    <definedName name="TermAnnuity_PP11">'Test Sheet'!$EP$23</definedName>
    <definedName name="TermAnnuity_PP12">'Test Sheet'!$FF$23</definedName>
    <definedName name="TermAnnuity_PP21">'Test Sheet'!$IB$23</definedName>
    <definedName name="TermAnnuity_PP22">'Test Sheet'!$IR$23</definedName>
    <definedName name="TermAnnuity_RCV11">'Test Sheet'!$EP$19</definedName>
    <definedName name="TermAnnuity_RCV12">'Test Sheet'!$FF$19</definedName>
    <definedName name="TermAnnuity_RCV21">'Test Sheet'!$IB$19</definedName>
    <definedName name="TermAnnuity_RCV22">'Test Sheet'!$IR$19</definedName>
    <definedName name="TermAnnuityAssetTest11">'Test Sheet'!$EU$31</definedName>
    <definedName name="TermAnnuityAssetTest12">'Test Sheet'!$FK$31</definedName>
    <definedName name="TermAnnuityAssetTest21">'Test Sheet'!$IG$31</definedName>
    <definedName name="TermAnnuityAssetTest22">'Test Sheet'!$IW$31</definedName>
    <definedName name="TermAnnuityDeathCV11">'Test Sheet'!$ET$31</definedName>
    <definedName name="TermAnnuityDeathCV12">'Test Sheet'!$FJ$31</definedName>
    <definedName name="TermAnnuityDeathCV21">'Test Sheet'!$IF$31</definedName>
    <definedName name="TermAnnuityDeathCV22">'Test Sheet'!$IV$31</definedName>
    <definedName name="TermAnnuityDeathDiscountRate11">'Test Sheet'!$ES$31</definedName>
    <definedName name="TermAnnuityDeathDiscountRate12">'Test Sheet'!$FI$31</definedName>
    <definedName name="TermAnnuityDeathDiscountRate21">'Test Sheet'!$IE$31</definedName>
    <definedName name="TermAnnuityDeathDiscountRate22">'Test Sheet'!$IU$31</definedName>
    <definedName name="TermAnnuityDedAmt11">'Test Sheet'!$EW$31</definedName>
    <definedName name="TermAnnuityDedAmt12">'Test Sheet'!$FM$31</definedName>
    <definedName name="TermAnnuityDedAmt21">'Test Sheet'!$II$31</definedName>
    <definedName name="TermAnnuityDedAmt22">'Test Sheet'!$IY$31</definedName>
    <definedName name="TermAnnuityDiscountRate11">'Test Sheet'!$EP$31</definedName>
    <definedName name="TermAnnuityDiscountRate12">'Test Sheet'!$FF$31</definedName>
    <definedName name="TermAnnuityDiscountRate21">'Test Sheet'!$IB$31</definedName>
    <definedName name="TermAnnuityDiscountRate22">'Test Sheet'!$IR$31</definedName>
    <definedName name="TermAnnuityIncTest11">'Test Sheet'!$EX$31</definedName>
    <definedName name="TermAnnuityIncTest12">'Test Sheet'!$FN$31</definedName>
    <definedName name="TermAnnuityIncTest21">'Test Sheet'!$IJ$31</definedName>
    <definedName name="TermAnnuityIncTest22">'Test Sheet'!$IZ$31</definedName>
    <definedName name="TermAnnuityIndexation11" localSheetId="0">Input!$D$99</definedName>
    <definedName name="TermAnnuityIndexation11" localSheetId="10">'Test Sheet'!$EP$21</definedName>
    <definedName name="TermAnnuityIndexation12" localSheetId="0">Input!$D$112</definedName>
    <definedName name="TermAnnuityIndexation12" localSheetId="10">'Test Sheet'!$FF$21</definedName>
    <definedName name="TermAnnuityIndexation21" localSheetId="0">Input!$E$99</definedName>
    <definedName name="TermAnnuityIndexation21" localSheetId="10">'Test Sheet'!$IB$21</definedName>
    <definedName name="TermAnnuityIndexation22" localSheetId="0">Input!$E$112</definedName>
    <definedName name="TermAnnuityIndexation22" localSheetId="10">'Test Sheet'!$IR$21</definedName>
    <definedName name="TermAnnuityInitialPayment11">'Test Sheet'!$EP$20</definedName>
    <definedName name="TermAnnuityInitialPayment12">'Test Sheet'!$FF$20</definedName>
    <definedName name="TermAnnuityInitialPayment21">'Test Sheet'!$IB$20</definedName>
    <definedName name="TermAnnuityInitialPayment22">'Test Sheet'!$IR$20</definedName>
    <definedName name="TermAnnuityPlatformFee">Input!$E$149</definedName>
    <definedName name="TermAnnuityPlatformFeePortA">'APC portfolio inputs'!$F$149</definedName>
    <definedName name="TermAnnuityPlatformFeePortB">'APC portfolio inputs'!$Q$149</definedName>
    <definedName name="TermAnnuityPmt11" localSheetId="0">Input!$D$97</definedName>
    <definedName name="TermAnnuityPmt11">'Test Sheet'!$EY$31</definedName>
    <definedName name="TermAnnuityPmt12" localSheetId="0">Input!$D$110</definedName>
    <definedName name="TermAnnuityPmt12">'Test Sheet'!$FO$31</definedName>
    <definedName name="TermAnnuityPmt21" localSheetId="0">Input!$E$97</definedName>
    <definedName name="TermAnnuityPmt21">'Test Sheet'!$IK$31</definedName>
    <definedName name="TermAnnuityPmt22" localSheetId="0">Input!$E$110</definedName>
    <definedName name="TermAnnuityPmt22">'Test Sheet'!$JA$31</definedName>
    <definedName name="TermAnnuityPP11" localSheetId="0">Input!$D$100</definedName>
    <definedName name="TermAnnuityPP12" localSheetId="0">Input!$D$113</definedName>
    <definedName name="TermAnnuityPP21" localSheetId="0">Input!$E$100</definedName>
    <definedName name="TermAnnuityPP22" localSheetId="0">Input!$E$113</definedName>
    <definedName name="TermAnnuityRCV11">'Test Sheet'!$EV$31</definedName>
    <definedName name="TermAnnuityRCV12">'Test Sheet'!$FL$31</definedName>
    <definedName name="TermAnnuityRCV21">'Test Sheet'!$IH$31</definedName>
    <definedName name="TermAnnuityRCV22">'Test Sheet'!$IX$31</definedName>
    <definedName name="TermAnnuityReversion11" localSheetId="0">Input!$D$102</definedName>
    <definedName name="TermAnnuityReversion12" localSheetId="0">Input!$D$115</definedName>
    <definedName name="TermAnnuityReversion21" localSheetId="0">Input!$E$102</definedName>
    <definedName name="TermAnnuityReversion22" localSheetId="0">Input!$E$115</definedName>
    <definedName name="TermAnnuityRN11">'Test Sheet'!$EP$22</definedName>
    <definedName name="TermAnnuityRN12">'Test Sheet'!$FF$22</definedName>
    <definedName name="TermAnnuityRN21">'Test Sheet'!$IB$22</definedName>
    <definedName name="TermAnnuityRN22">'Test Sheet'!$IR$22</definedName>
    <definedName name="TermAnnuityTerm11" localSheetId="0">Input!$D$101</definedName>
    <definedName name="TermAnnuityTerm12" localSheetId="0">Input!$D$114</definedName>
    <definedName name="TermAnnuityTerm21" localSheetId="0">Input!$E$101</definedName>
    <definedName name="TermAnnuityTerm22" localSheetId="0">Input!$E$114</definedName>
    <definedName name="TermAnnuityType11">'Test Sheet'!$EN$27</definedName>
    <definedName name="TermAnnuityType12">'Test Sheet'!$FD$27</definedName>
    <definedName name="TermAnnuityType21">'Test Sheet'!$HZ$27</definedName>
    <definedName name="TermAnnuityType22">'Test Sheet'!$IP$27</definedName>
    <definedName name="termAnnuityValue" localSheetId="14">'Deterministic Output VicSup'!$K$3</definedName>
    <definedName name="termAnnuityValue">'Deterministic Output'!$K$3</definedName>
    <definedName name="TermAnnuityVolCV11">'Test Sheet'!$EQ$31</definedName>
    <definedName name="TermAnnuityVolCV12">'Test Sheet'!$FG$31</definedName>
    <definedName name="TermAnnuityVolCV21">'Test Sheet'!$IC$31</definedName>
    <definedName name="TermAnnuityVolCV22">'Test Sheet'!$IS$31</definedName>
    <definedName name="TermCfg">Input!$G$33</definedName>
    <definedName name="TermCommInsure">Input!$G$34</definedName>
    <definedName name="TermDeemed">Assumptions!$K$16</definedName>
    <definedName name="TermDeposit">'Age Pension Calculator'!$V$49</definedName>
    <definedName name="TermDepositCash">Input!$D$130</definedName>
    <definedName name="TermDepositCashPortA">'APC portfolio inputs'!$E$130</definedName>
    <definedName name="TermDepositCashPortB">'APC portfolio inputs'!$P$130</definedName>
    <definedName name="TermDepositCashReturn">Input!$D$164</definedName>
    <definedName name="TermDepositCashReturnPortA">'APC portfolio inputs'!$E$164</definedName>
    <definedName name="TermDepositCashReturnPortB">'APC portfolio inputs'!$P$164</definedName>
    <definedName name="TermEarningsRate11" localSheetId="0">Input!$D$103</definedName>
    <definedName name="TermEarningsRate12" localSheetId="0">Input!$D$116</definedName>
    <definedName name="TermEarningsRate21" localSheetId="0">Input!$E$103</definedName>
    <definedName name="TermEarningsRate22" localSheetId="0">Input!$E$116</definedName>
    <definedName name="TermNominalPlatformFeeInput11">'Test Sheet'!$FA$31</definedName>
    <definedName name="TermNominalPlatformFeeInput12">'Test Sheet'!$FQ$31</definedName>
    <definedName name="TermNominalPlatformFeeInput21">'Test Sheet'!$IM$31</definedName>
    <definedName name="TermNominalPlatformFeeInput22">'Test Sheet'!$JC$31</definedName>
    <definedName name="TermPaymentFrequency11" localSheetId="0">Input!$D$98</definedName>
    <definedName name="TermPaymentFrequency12" localSheetId="0">Input!$D$111</definedName>
    <definedName name="TermPaymentFrequency21" localSheetId="0">Input!$E$98</definedName>
    <definedName name="TermPaymentFrequency22" localSheetId="0">Input!$E$111</definedName>
    <definedName name="TermRealPlatformFee11">'Test Sheet'!$FC$31</definedName>
    <definedName name="TermRealPlatformFee12">'Test Sheet'!$FS$31</definedName>
    <definedName name="TermRealPlatformFee21">'Test Sheet'!$IO$31</definedName>
    <definedName name="TermRealPlatformFee22">'Test Sheet'!$JE$31</definedName>
    <definedName name="TermRealPlatformFeeInput11">'Test Sheet'!$FB$31</definedName>
    <definedName name="TermRealPlatformFeeInput12">'Test Sheet'!$FR$31</definedName>
    <definedName name="TermRealPlatformFeeInput21">'Test Sheet'!$IN$31</definedName>
    <definedName name="TermRealPlatformFeeInput22">'Test Sheet'!$JD$31</definedName>
    <definedName name="TestData" localSheetId="10">'Test Sheet'!$B$31:$BW$140,'Test Sheet'!$CH$31:$JP$140,'Test Sheet'!$B$5:$C$9,'Test Sheet'!$B$13:$B$26,'Test Sheet'!$H$5:$J$10,'Test Sheet'!$P$5:$T$10,'Test Sheet'!$AG$19:$AH$21,'Test Sheet'!$AH$13:$AI$15,'Test Sheet'!$AH$12,'Test Sheet'!$AH$16,'Test Sheet'!$AG$22:$AH$22,'Test Sheet'!$CQ$17:$CQ$25,'Test Sheet'!$CP$27:$CQ$27,'Test Sheet'!$CO$27,'Test Sheet'!$DF$27,'Test Sheet'!$DH$17:$DH$25,'Test Sheet'!$DW$27,'Test Sheet'!$DY$17:$DY$25,'Test Sheet'!$EP$18:$EP$25,'Test Sheet'!$FF$18:$FF$25,'Test Sheet'!$GA$27:$GC$27,'Test Sheet'!$GC$17:$GC$25,'Test Sheet'!$GR$27,'Test Sheet'!$GT$17:$GT$25,'Test Sheet'!$HI$27,'Test Sheet'!$HK$17:$HK$25,'Test Sheet'!$IB$18:$IB$25,'Test Sheet'!$IR$18:$IR$25</definedName>
    <definedName name="Testing">Assumptions!$K$3</definedName>
    <definedName name="TestSheet">'Age Pension additional calcs'!$I$34</definedName>
    <definedName name="TestSheetOptimisedPensionPayment">'Test Sheet'!$B$24</definedName>
    <definedName name="TestSheetOtherIncome">'Test Sheet'!$AZ$31</definedName>
    <definedName name="TestSim">Assumptions!$B$4</definedName>
    <definedName name="theTermRemaining11">'Test Sheet'!$EN$31</definedName>
    <definedName name="theTermRemaining12">'Test Sheet'!$FD$31</definedName>
    <definedName name="theTermRemaining21">'Test Sheet'!$HZ$31</definedName>
    <definedName name="theTermRemaining22">'Test Sheet'!$IP$31</definedName>
    <definedName name="TotalAdvisorFees">'Test Sheet'!$Q$31</definedName>
    <definedName name="TotalAnnuityDeemed">'Test Sheet'!$BT$31</definedName>
    <definedName name="TotalAnnuityPmt">'Test Sheet'!$BV$31</definedName>
    <definedName name="TotalRCV">'Test Sheet'!$BW$31</definedName>
    <definedName name="TotalResidualBalance" localSheetId="0">Input!$D$168</definedName>
    <definedName name="TotalSuperAssets">Input!$D$29</definedName>
    <definedName name="TypeDetReturns">Assumptions!$K$5</definedName>
    <definedName name="UpperDeemingRate">'Test Sheet'!$W$31</definedName>
    <definedName name="UpperPercentile">Assumptions!$B$10</definedName>
    <definedName name="ValDate" localSheetId="10">'Test Sheet'!$B$26</definedName>
    <definedName name="ValuationDate" localSheetId="0">Input!$D$10</definedName>
    <definedName name="ValuationDatePortA">'APC portfolio inputs'!$E$10</definedName>
    <definedName name="ValuationDatePortB">'APC portfolio inputs'!$P$10</definedName>
    <definedName name="VDeterministicScenarioOutput">'Deterministic Output VicSup'!$A$1:$V$75</definedName>
    <definedName name="VicSuperAdminFee">Assumptions!$K$30</definedName>
    <definedName name="VMarketA" localSheetId="14">'Deterministic Output VicSup'!$AI$1</definedName>
    <definedName name="VMarketB" localSheetId="14">'Deterministic Output VicSup'!$BN$1</definedName>
    <definedName name="VMarketC">'Deterministic Output VicSup'!$CK$1</definedName>
    <definedName name="VoluntaryCommutationValue">'Test Sheet'!$BR$31</definedName>
    <definedName name="VoluntaryOrDeath">Assumptions!$K$21</definedName>
    <definedName name="VScenarioA">'Deterministic Output VicSup'!$AJ$1</definedName>
    <definedName name="VScenarioB">'Deterministic Output VicSup'!$BO$1</definedName>
    <definedName name="VScenarioC">'Deterministic Output VicSup'!$CL$1</definedName>
    <definedName name="WealthABP" localSheetId="14">OFFSET('Deterministic Output VicSup'!$L$3,,,COUNT('Deterministic Output VicSup'!$L:$L),1)</definedName>
    <definedName name="WealthABP">OFFSET('Deterministic Output'!$L$3,,,COUNT('Deterministic Output'!$L:$L),1)</definedName>
    <definedName name="WealthFinancialInv" localSheetId="14">OFFSET('Deterministic Output VicSup'!$M$3,,,COUNT('Deterministic Output VicSup'!$M:$M),1)</definedName>
    <definedName name="WealthFinancialInv">OFFSET('Deterministic Output'!$M$3,,,COUNT('Deterministic Output'!$M:$M),1)</definedName>
    <definedName name="WealthLifeAnnuity" localSheetId="14">OFFSET('Deterministic Output VicSup'!$J$3,,,COUNT('Deterministic Output VicSup'!$J:$J),1)</definedName>
    <definedName name="WealthLifeAnnuity">OFFSET('Deterministic Output'!$J$3,,,COUNT('Deterministic Output'!$J:$J),1)</definedName>
    <definedName name="WealthTermAnnuity" localSheetId="14">OFFSET('Deterministic Output VicSup'!$K$3,,,COUNT('Deterministic Output VicSup'!$K:$K),1)</definedName>
    <definedName name="WealthTermAnnuity">OFFSET('Deterministic Output'!$K$3,,,COUNT('Deterministic Output'!$K:$K),1)</definedName>
    <definedName name="WithdrawalGuaranteePercentage11" localSheetId="0">Input!$D$59</definedName>
    <definedName name="WithdrawalGuaranteePercentage13">Input!$D$71</definedName>
    <definedName name="WithdrawalGuaranteePercentage21" localSheetId="0">Input!$E$59</definedName>
    <definedName name="WithdrawalGuaranteePercentage23">Input!$E$71</definedName>
    <definedName name="WithdrawalPeriod11">'Test Sheet'!$CQ$19</definedName>
    <definedName name="WithdrawalPeriod12">'Test Sheet'!$DH$19</definedName>
    <definedName name="WithdrawalPeriod13" localSheetId="10">'Test Sheet'!$DY$19</definedName>
    <definedName name="WithdrawalPeriod13">Input!$D$70</definedName>
    <definedName name="WithdrawalPeriod21">'Test Sheet'!$GC$19</definedName>
    <definedName name="WithdrawalPeriod22">'Test Sheet'!$GT$19</definedName>
    <definedName name="WithdrawalPeriod23" localSheetId="10">'Test Sheet'!$HK$19</definedName>
    <definedName name="WithdrawalPeriod23">Input!$E$70</definedName>
    <definedName name="WorkBonus">SocialSecuritySettings!$B$176</definedName>
    <definedName name="WorkBonus1">'Test Sheet'!$X$31</definedName>
    <definedName name="WorkBonus2">'Test Sheet'!$Y$31</definedName>
    <definedName name="WorkBonusAmtP1">'Test Sheet'!$Z$31</definedName>
    <definedName name="WorkBonusAmtP2">'Test Sheet'!$AA$31</definedName>
    <definedName name="YearsDeferredIncrease">Assumptions!$K$11</definedName>
    <definedName name="YearsIncome1" localSheetId="0">Input!$D$136</definedName>
    <definedName name="YearsIncome2" localSheetId="0">Input!$E$136</definedName>
    <definedName name="YearsOfGuarantee">Assumptions!$K$10</definedName>
  </definedNames>
  <calcPr calcId="145621"/>
  <pivotCaches>
    <pivotCache cacheId="0" r:id="rId21"/>
  </pivotCaches>
  <extLst>
    <ext xmlns:x14="http://schemas.microsoft.com/office/spreadsheetml/2009/9/main" uri="{8193D73E-4604-4355-AFF4-8A2333D13BE4}">
      <x14:definedNames>
        <x14:definedName name="ageEligibleForAgePension">
          <x14:argumentDescriptions count="2">
            <x14:argumentDescription index="0">The date of birth of the individual as a Date (dd/mm/yyyy)</x14:argumentDescription>
            <x14:argumentDescription index="1">The gender of the individual as 'F' for female and 'M' for male</x14:argumentDescription>
          </x14:argumentDescriptions>
        </x14:definedName>
        <x14:definedName name="getAgeAtDate">
          <x14:argumentDescriptions count="5">
            <x14:argumentDescription index="0">The date of birth of the person expressed as a date format</x14:argumentDescription>
            <x14:argumentDescription index="1">The term of the annuity - 1 to 30 years</x14:argumentDescription>
            <x14:argumentDescription index="2">The age of the annuitant expressed as an integer e.g. 63</x14:argumentDescription>
            <x14:argumentDescription index="3">The payment period of the annuity - 0, 10, 15 or 20 years</x14:argumentDescription>
            <x14:argumentDescription index="4">The withdrawal guarantee percentage - 100%, 50% or 10%</x14:argumentDescription>
          </x14:argumentDescriptions>
        </x14:definedName>
        <x14:definedName name="getChallengerLifetimeIIPayment">
          <x14:argumentDescriptions count="5">
            <x14:argumentDescription index="0" xml:space="preserve">The annuity indexation - CPI, Part or Nil - express as a string by using quotes </x14:argumentDescription>
            <x14:argumentDescription index="1">The gender of the annuitant - Male or Female - express as a string by using quotes</x14:argumentDescription>
            <x14:argumentDescription index="2">The age of the annuitant expressed as an integer e.g. 63</x14:argumentDescription>
            <x14:argumentDescription index="3">The payment period of the annuity - 0, 10, 15 or 20 years</x14:argumentDescription>
            <x14:argumentDescription index="4">The withdrawal guarantee percentage - 100%, 50% or 10%</x14:argumentDescription>
          </x14:argumentDescriptions>
        </x14:definedName>
        <x14:definedName name="getChallengerLifetimeIIRate">
          <x14:argumentDescriptions count="5">
            <x14:argumentDescription index="0" xml:space="preserve">The annuity indexation - CPI, Part or Nil - express as a string by using quotes </x14:argumentDescription>
            <x14:argumentDescription index="1">The gender of the annuitant - Male or Female - express as a string by using quotes</x14:argumentDescription>
            <x14:argumentDescription index="2">The age of the annuitant expressed as an integer e.g. 63</x14:argumentDescription>
            <x14:argumentDescription index="3">The payment period of the annuity - 0, 10, 15 or 20 years</x14:argumentDescription>
            <x14:argumentDescription index="4">The withdrawal guarantee percentage - 100%, 50% or 10%</x14:argumentDescription>
          </x14:argumentDescriptions>
        </x14:definedName>
        <x14:definedName name="getChallengerLiquidLifetimePayment">
          <x14:argumentDescriptions count="5">
            <x14:argumentDescription index="0">The annuity indexation - CPI, Part or Nil - express as a string by using quotes</x14:argumentDescription>
            <x14:argumentDescription index="1">Whether the annuity is commutable - Yes or No - express as a string by using quotes</x14:argumentDescription>
            <x14:argumentDescription index="2">The gender of the annuitant - Male or Female - express as a string by using quotes</x14:argumentDescription>
            <x14:argumentDescription index="3">The age of the annuitant expressed as an integer e.g. 63</x14:argumentDescription>
            <x14:argumentDescription index="4">The withdrawal guarantee percentage - 100%, 50% or 10%</x14:argumentDescription>
          </x14:argumentDescriptions>
        </x14:definedName>
        <x14:definedName name="getChallengerTermPayment">
          <x14:argumentDescriptions count="5">
            <x14:argumentDescription index="0">The annuity indexation - CPI or Nil - express as a string by using quotes</x14:argumentDescription>
            <x14:argumentDescription index="1">The term of the annuity - 1 to 50 years</x14:argumentDescription>
            <x14:argumentDescription index="2">The gender of the annuitant - Male or Female - express as a string by using quotes</x14:argumentDescription>
            <x14:argumentDescription index="3">The age of the annuitant expressed as an integer e.g. 63</x14:argumentDescription>
            <x14:argumentDescription index="4">The withdrawal guarantee percentage - 100%, 50% or 10%</x14:argumentDescription>
          </x14:argumentDescriptions>
        </x14:definedName>
        <x14:definedName name="getChallengerTermRate">
          <x14:argumentDescriptions count="5">
            <x14:argumentDescription index="0">The annuity indexation - CPI or Nil - express as a string by using quotes</x14:argumentDescription>
            <x14:argumentDescription index="1">The term of the annuity - 1 to 50 years</x14:argumentDescription>
            <x14:argumentDescription index="2">The gender of the annuitant - Male or Female - express as a string by using quotes</x14:argumentDescription>
            <x14:argumentDescription index="3">The age of the annuitant expressed as an integer e.g. 63</x14:argumentDescription>
            <x14:argumentDescription index="4">The withdrawal guarantee percentage - 100%, 50% or 10%</x14:argumentDescription>
          </x14:argumentDescriptions>
        </x14:definedName>
        <x14:definedName name="getCommInsureLifetimePayment">
          <x14:argumentDescriptions count="5">
            <x14:argumentDescription index="0" xml:space="preserve">The annuity indexation - CPI or Nil - express as a string by using quotes </x14:argumentDescription>
            <x14:argumentDescription index="1">The gender of the annuitant - Male or Female - express as a string by using quotes</x14:argumentDescription>
            <x14:argumentDescription index="2">The age of the annuitant expressed as an integer e.g. 63</x14:argumentDescription>
            <x14:argumentDescription index="3">The payment period of the annuity - 0, 10, 15 or 20 years</x14:argumentDescription>
            <x14:argumentDescription index="4">The withdrawal guarantee percentage - 100%, 50% or 10%</x14:argumentDescription>
          </x14:argumentDescriptions>
        </x14:definedName>
        <x14:definedName name="getCommInsureTermPayment">
          <x14:argumentDescriptions count="5">
            <x14:argumentDescription index="0">The annuity indexation - CPI or Nil - express as a string by using quotes</x14:argumentDescription>
            <x14:argumentDescription index="1">The term of the annuity - 1 to 30 years</x14:argumentDescription>
            <x14:argumentDescription index="2">The age of the annuitant expressed as an integer e.g. 63</x14:argumentDescription>
            <x14:argumentDescription index="3">The payment period of the annuity - 0, 10, 15 or 20 years</x14:argumentDescription>
            <x14:argumentDescription index="4">The withdrawal guarantee percentage - 100%, 50% or 10%</x14:argumentDescription>
          </x14:argumentDescriptions>
        </x14:definedName>
        <x14:definedName name="getCommInsureTermRate">
          <x14:argumentDescriptions count="5">
            <x14:argumentDescription index="0">The annuity indexation - CPI or Nil - express as a string by using quotes</x14:argumentDescription>
            <x14:argumentDescription index="1">The term of the annuity - 1 to 30 years</x14:argumentDescription>
            <x14:argumentDescription index="2">The age of the annuitant expressed as an integer e.g. 63</x14:argumentDescription>
            <x14:argumentDescription index="3">The payment period of the annuity - 0, 10, 15 or 20 years</x14:argumentDescription>
            <x14:argumentDescription index="4">The withdrawal guarantee percentage - 100%, 50% or 10%</x14:argumentDescription>
          </x14:argumentDescriptions>
        </x14:definedName>
        <x14:definedName name="getLiquidLifetimePayment">
          <x14:argumentDescriptions count="5">
            <x14:argumentDescription index="0">The annuity indexation - CPI, Part or Nil</x14:argumentDescription>
            <x14:argumentDescription index="1">Whether the annuity is commutable - Yes or No</x14:argumentDescription>
            <x14:argumentDescription index="2">The gender of the annuitant - Male or Female</x14:argumentDescription>
            <x14:argumentDescription index="3">The age of the annuitant expressed as an integer e.g. 63</x14:argumentDescription>
            <x14:argumentDescription index="4">The withdrawal guarantee percentage - 100%, 50% or 10%</x14:argumentDescription>
          </x14:argumentDescriptions>
        </x14:definedName>
        <x14:definedName name="incomeFreeAreaLimit">
          <x14:argumentDescriptions count="1">
            <x14:argumentDescription index="0">The individual's family situation category 'S' for single or couple separated due to illness/respite care etc, 'C' for couple</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D253" i="93" l="1"/>
  <c r="C253" i="93"/>
  <c r="D252" i="93"/>
  <c r="C252" i="93"/>
  <c r="D251" i="93"/>
  <c r="C251" i="93"/>
  <c r="D250" i="93"/>
  <c r="C250" i="93"/>
  <c r="D249" i="93"/>
  <c r="C249" i="93"/>
  <c r="D248" i="93"/>
  <c r="C248" i="93"/>
  <c r="D247" i="93"/>
  <c r="C247" i="93"/>
  <c r="D246" i="93"/>
  <c r="C246" i="93"/>
  <c r="D245" i="93"/>
  <c r="C245" i="93"/>
  <c r="D244" i="93"/>
  <c r="C244" i="93"/>
  <c r="D243" i="93"/>
  <c r="C243" i="93"/>
  <c r="D242" i="93"/>
  <c r="C242" i="93"/>
  <c r="D241" i="93"/>
  <c r="C241" i="93"/>
  <c r="D240" i="93"/>
  <c r="C240" i="93"/>
  <c r="D239" i="93"/>
  <c r="C239" i="93"/>
  <c r="D238" i="93"/>
  <c r="C238" i="93"/>
  <c r="D237" i="93"/>
  <c r="C237" i="93"/>
  <c r="D236" i="93"/>
  <c r="C236" i="93"/>
  <c r="D235" i="93"/>
  <c r="C235" i="93"/>
  <c r="D234" i="93"/>
  <c r="C234" i="93"/>
  <c r="D233" i="93"/>
  <c r="C233" i="93"/>
  <c r="D232" i="93"/>
  <c r="C232" i="93"/>
  <c r="D231" i="93"/>
  <c r="C231" i="93"/>
  <c r="D230" i="93"/>
  <c r="C230" i="93"/>
  <c r="D229" i="93"/>
  <c r="C229" i="93"/>
  <c r="D228" i="93"/>
  <c r="C228" i="93"/>
  <c r="D227" i="93"/>
  <c r="C227" i="93"/>
  <c r="D226" i="93"/>
  <c r="C226" i="93"/>
  <c r="D225" i="93"/>
  <c r="C225" i="93"/>
  <c r="D224" i="93"/>
  <c r="C224" i="93"/>
  <c r="D223" i="93"/>
  <c r="C223" i="93"/>
  <c r="D222" i="93"/>
  <c r="C222" i="93"/>
  <c r="D221" i="93"/>
  <c r="C221" i="93"/>
  <c r="D220" i="93"/>
  <c r="C220" i="93"/>
  <c r="D219" i="93"/>
  <c r="C219" i="93"/>
  <c r="X33" i="93"/>
  <c r="AH30" i="93"/>
  <c r="AC5" i="93" s="1"/>
  <c r="AH26" i="93"/>
  <c r="AC21" i="93"/>
  <c r="R30" i="123" l="1"/>
  <c r="X30" i="123" s="1"/>
  <c r="R29" i="123"/>
  <c r="X29" i="123" s="1"/>
  <c r="R28" i="123"/>
  <c r="X28" i="123" s="1"/>
  <c r="R27" i="123"/>
  <c r="X27" i="123" s="1"/>
  <c r="R26" i="123"/>
  <c r="X26" i="123" s="1"/>
  <c r="R25" i="123"/>
  <c r="X25" i="123" s="1"/>
  <c r="R21" i="123"/>
  <c r="X21" i="123" s="1"/>
  <c r="R20" i="123"/>
  <c r="X20" i="123" s="1"/>
  <c r="R19" i="123"/>
  <c r="X19" i="123" s="1"/>
  <c r="R18" i="123"/>
  <c r="X18" i="123" s="1"/>
  <c r="R17" i="123"/>
  <c r="X17" i="123" s="1"/>
  <c r="R16" i="123"/>
  <c r="X16" i="123" s="1"/>
  <c r="R15" i="123"/>
  <c r="X15" i="123" s="1"/>
  <c r="R14" i="123"/>
  <c r="X14" i="123" s="1"/>
  <c r="R13" i="123"/>
  <c r="R12" i="123"/>
  <c r="X12" i="123" s="1"/>
  <c r="R9" i="123"/>
  <c r="AL28" i="123" l="1"/>
  <c r="R33" i="123"/>
  <c r="X13" i="123"/>
  <c r="AL27" i="123" s="1"/>
  <c r="AL29" i="123" l="1"/>
  <c r="X33" i="123"/>
  <c r="AU35" i="115"/>
  <c r="U19" i="114" l="1"/>
  <c r="U20" i="114"/>
  <c r="U21" i="114"/>
  <c r="U22" i="114"/>
  <c r="U23" i="114"/>
  <c r="U24" i="114"/>
  <c r="U25" i="114"/>
  <c r="U26" i="114"/>
  <c r="U27" i="114"/>
  <c r="U28" i="114"/>
  <c r="U29" i="114"/>
  <c r="U30" i="114"/>
  <c r="U31" i="114"/>
  <c r="U32" i="114"/>
  <c r="U33" i="114"/>
  <c r="U34" i="114"/>
  <c r="U35" i="114"/>
  <c r="U36" i="114"/>
  <c r="U37" i="114"/>
  <c r="U38" i="114"/>
  <c r="U39" i="114"/>
  <c r="U40" i="114"/>
  <c r="U41" i="114"/>
  <c r="U42" i="114"/>
  <c r="U43" i="114"/>
  <c r="U44" i="114"/>
  <c r="U11" i="114"/>
  <c r="U12" i="114"/>
  <c r="U13" i="114"/>
  <c r="U14" i="114"/>
  <c r="U15" i="114"/>
  <c r="U16" i="114"/>
  <c r="U17" i="114"/>
  <c r="U18" i="114"/>
  <c r="U10" i="114"/>
  <c r="AE11" i="114" l="1"/>
  <c r="AE12" i="114"/>
  <c r="AE13" i="114"/>
  <c r="AE14" i="114"/>
  <c r="AE15" i="114"/>
  <c r="AE16" i="114"/>
  <c r="AE17" i="114"/>
  <c r="AE18" i="114"/>
  <c r="AE19" i="114"/>
  <c r="AE20" i="114"/>
  <c r="AE21" i="114"/>
  <c r="AE22" i="114"/>
  <c r="AE23" i="114"/>
  <c r="AE24" i="114"/>
  <c r="AE25" i="114"/>
  <c r="AE26" i="114"/>
  <c r="AE27" i="114"/>
  <c r="AE28" i="114"/>
  <c r="AE29" i="114"/>
  <c r="AE30" i="114"/>
  <c r="AE31" i="114"/>
  <c r="AE32" i="114"/>
  <c r="AE33" i="114"/>
  <c r="AE34" i="114"/>
  <c r="AE35" i="114"/>
  <c r="AE36" i="114"/>
  <c r="AE37" i="114"/>
  <c r="AE38" i="114"/>
  <c r="AE39" i="114"/>
  <c r="AE40" i="114"/>
  <c r="AE41" i="114"/>
  <c r="AE42" i="114"/>
  <c r="AE43" i="114"/>
  <c r="AE44" i="114"/>
  <c r="AE10" i="114"/>
  <c r="CE33" i="58" l="1"/>
  <c r="CE34" i="58"/>
  <c r="CE35" i="58"/>
  <c r="CE36" i="58"/>
  <c r="CE37" i="58"/>
  <c r="CE38" i="58"/>
  <c r="CE39" i="58"/>
  <c r="CE40" i="58"/>
  <c r="CE41" i="58"/>
  <c r="CE42" i="58"/>
  <c r="CE43" i="58"/>
  <c r="CE44" i="58"/>
  <c r="CE45" i="58"/>
  <c r="CE46" i="58"/>
  <c r="CE47" i="58"/>
  <c r="CE48" i="58"/>
  <c r="CE49" i="58"/>
  <c r="CE50" i="58"/>
  <c r="CE51" i="58"/>
  <c r="CE52" i="58"/>
  <c r="CE53" i="58"/>
  <c r="CE54" i="58"/>
  <c r="CE55" i="58"/>
  <c r="CE56" i="58"/>
  <c r="CE57" i="58"/>
  <c r="CE58" i="58"/>
  <c r="CE59" i="58"/>
  <c r="CE60" i="58"/>
  <c r="CE61" i="58"/>
  <c r="CE62" i="58"/>
  <c r="CE63" i="58"/>
  <c r="CE64" i="58"/>
  <c r="CE65" i="58"/>
  <c r="CE66" i="58"/>
  <c r="CE67" i="58"/>
  <c r="CE68" i="58"/>
  <c r="CE69" i="58"/>
  <c r="CE70" i="58"/>
  <c r="CE71" i="58"/>
  <c r="CE72" i="58"/>
  <c r="CE32" i="58"/>
  <c r="CE31" i="58"/>
  <c r="D16" i="121" l="1"/>
  <c r="D8" i="121"/>
  <c r="Y31" i="121"/>
  <c r="AN12" i="114" l="1"/>
  <c r="AO12" i="114" s="1"/>
  <c r="AN13" i="114"/>
  <c r="AO13" i="114" s="1"/>
  <c r="AN14" i="114"/>
  <c r="AO14" i="114" s="1"/>
  <c r="AN15" i="114"/>
  <c r="AO15" i="114" s="1"/>
  <c r="AN16" i="114"/>
  <c r="AO16" i="114" s="1"/>
  <c r="AN17" i="114"/>
  <c r="AO17" i="114" s="1"/>
  <c r="AN18" i="114"/>
  <c r="AO18" i="114" s="1"/>
  <c r="AN19" i="114"/>
  <c r="AO19" i="114" s="1"/>
  <c r="AN20" i="114"/>
  <c r="AO20" i="114" s="1"/>
  <c r="AN21" i="114"/>
  <c r="AO21" i="114" s="1"/>
  <c r="AN22" i="114"/>
  <c r="AO22" i="114" s="1"/>
  <c r="AN23" i="114"/>
  <c r="AO23" i="114" s="1"/>
  <c r="AN24" i="114"/>
  <c r="AO24" i="114" s="1"/>
  <c r="AN25" i="114"/>
  <c r="AO25" i="114" s="1"/>
  <c r="AN26" i="114"/>
  <c r="AO26" i="114" s="1"/>
  <c r="AN27" i="114"/>
  <c r="AO27" i="114" s="1"/>
  <c r="AN28" i="114"/>
  <c r="AO28" i="114" s="1"/>
  <c r="AN29" i="114"/>
  <c r="AO29" i="114" s="1"/>
  <c r="AN30" i="114"/>
  <c r="AO30" i="114" s="1"/>
  <c r="AN31" i="114"/>
  <c r="AO31" i="114" s="1"/>
  <c r="AN32" i="114"/>
  <c r="AO32" i="114" s="1"/>
  <c r="AN33" i="114"/>
  <c r="AO33" i="114" s="1"/>
  <c r="AN34" i="114"/>
  <c r="AO34" i="114" s="1"/>
  <c r="AN35" i="114"/>
  <c r="AO35" i="114" s="1"/>
  <c r="AN36" i="114"/>
  <c r="AO36" i="114" s="1"/>
  <c r="AN37" i="114"/>
  <c r="AO37" i="114" s="1"/>
  <c r="AN38" i="114"/>
  <c r="AO38" i="114" s="1"/>
  <c r="AN39" i="114"/>
  <c r="AO39" i="114" s="1"/>
  <c r="AN40" i="114"/>
  <c r="AO40" i="114" s="1"/>
  <c r="AN41" i="114"/>
  <c r="AO41" i="114" s="1"/>
  <c r="AN42" i="114"/>
  <c r="AO42" i="114" s="1"/>
  <c r="AN43" i="114"/>
  <c r="AO43" i="114" s="1"/>
  <c r="AN44" i="114"/>
  <c r="AO44" i="114" s="1"/>
  <c r="AN11" i="114"/>
  <c r="AO11" i="114" s="1"/>
  <c r="AN10" i="114"/>
  <c r="AO10" i="114" s="1"/>
  <c r="P38" i="114" l="1"/>
  <c r="P37" i="114"/>
  <c r="AU10" i="93" l="1"/>
  <c r="D12" i="121"/>
  <c r="BU4" i="121"/>
  <c r="AJ56" i="115"/>
  <c r="D225" i="34"/>
  <c r="E231" i="34"/>
  <c r="E229" i="34"/>
  <c r="Y31" i="122"/>
  <c r="D16" i="122"/>
  <c r="D8" i="122"/>
  <c r="AA55" i="115" l="1"/>
  <c r="AA53" i="115"/>
  <c r="AT42" i="115"/>
  <c r="M39" i="115"/>
  <c r="AU37" i="115"/>
  <c r="AU36" i="115"/>
  <c r="AM36" i="115"/>
  <c r="AM35" i="115"/>
  <c r="AM34" i="115"/>
  <c r="AM33" i="115"/>
  <c r="T33" i="115"/>
  <c r="L33" i="115"/>
  <c r="T32" i="115"/>
  <c r="L32" i="115"/>
  <c r="AU31" i="115"/>
  <c r="AM31" i="115"/>
  <c r="AU30" i="115"/>
  <c r="AM30" i="115"/>
  <c r="X29" i="115"/>
  <c r="L29" i="115"/>
  <c r="L28" i="115"/>
  <c r="AU23" i="115"/>
  <c r="AU24" i="115" s="1"/>
  <c r="AU26" i="115" s="1"/>
  <c r="AM23" i="115"/>
  <c r="AM24" i="115" s="1"/>
  <c r="AM19" i="115"/>
  <c r="AM15" i="115"/>
  <c r="AH11" i="115"/>
  <c r="C11" i="115"/>
  <c r="K182" i="115"/>
  <c r="H182" i="115"/>
  <c r="K146" i="115"/>
  <c r="H146" i="115"/>
  <c r="C130" i="115"/>
  <c r="C166" i="115" s="1"/>
  <c r="T146" i="115"/>
  <c r="Q146" i="115"/>
  <c r="N146" i="115"/>
  <c r="AR146" i="115"/>
  <c r="AO146" i="115"/>
  <c r="AL146" i="115"/>
  <c r="AI146" i="115"/>
  <c r="AF146" i="115"/>
  <c r="AC146" i="115"/>
  <c r="Z146" i="115"/>
  <c r="W146" i="115"/>
  <c r="AO292" i="115"/>
  <c r="AO291" i="115"/>
  <c r="AO290" i="115"/>
  <c r="AO289" i="115"/>
  <c r="AO288" i="115"/>
  <c r="AO285" i="115"/>
  <c r="AO284" i="115"/>
  <c r="AV276" i="115"/>
  <c r="AO276" i="115"/>
  <c r="O276" i="115"/>
  <c r="AV275" i="115"/>
  <c r="AO275" i="115"/>
  <c r="V270" i="115"/>
  <c r="O270" i="115"/>
  <c r="AV267" i="115"/>
  <c r="AV268" i="115" s="1"/>
  <c r="AO267" i="115"/>
  <c r="AO268" i="115" s="1"/>
  <c r="AO272" i="115" s="1"/>
  <c r="O267" i="115"/>
  <c r="AX182" i="115"/>
  <c r="AU182" i="115"/>
  <c r="AR182" i="115"/>
  <c r="AO182" i="115"/>
  <c r="AL182" i="115"/>
  <c r="AI182" i="115"/>
  <c r="AF182" i="115"/>
  <c r="AC182" i="115"/>
  <c r="Z182" i="115"/>
  <c r="W182" i="115"/>
  <c r="T182" i="115"/>
  <c r="Q182" i="115"/>
  <c r="N182" i="115"/>
  <c r="AX146" i="115"/>
  <c r="AU146" i="115"/>
  <c r="AT78" i="115" l="1"/>
  <c r="AT150" i="115" s="1"/>
  <c r="AT222" i="115"/>
  <c r="AU34" i="115"/>
  <c r="AW39" i="115" s="1"/>
  <c r="C38" i="115" s="1"/>
  <c r="AO270" i="115"/>
  <c r="AN39" i="115"/>
  <c r="AM26" i="115"/>
  <c r="AT294" i="115"/>
  <c r="AV272" i="115"/>
  <c r="AV269" i="115"/>
  <c r="AV270" i="115"/>
  <c r="AT258" i="115"/>
  <c r="AO269" i="115"/>
  <c r="AY25" i="114"/>
  <c r="C250" i="115" s="1"/>
  <c r="AM16" i="115"/>
  <c r="AA57" i="115"/>
  <c r="AA51" i="115"/>
  <c r="AT114" i="115" l="1"/>
  <c r="AT186" i="115"/>
  <c r="N83" i="101"/>
  <c r="O279" i="115" s="1"/>
  <c r="J83" i="101"/>
  <c r="N81" i="101"/>
  <c r="O278" i="115" s="1"/>
  <c r="J81" i="101"/>
  <c r="O277" i="115" s="1"/>
  <c r="N79" i="101"/>
  <c r="O275" i="115" s="1"/>
  <c r="J79" i="101"/>
  <c r="O274" i="115" s="1"/>
  <c r="N73" i="101"/>
  <c r="N71" i="101"/>
  <c r="N24" i="101"/>
  <c r="R18" i="101"/>
  <c r="N18" i="101"/>
  <c r="V271" i="115" l="1"/>
  <c r="O271" i="115"/>
  <c r="F265" i="34"/>
  <c r="E260" i="34"/>
  <c r="A245" i="34"/>
  <c r="B246" i="34"/>
  <c r="B245" i="34"/>
  <c r="D231" i="34"/>
  <c r="D260" i="34" s="1"/>
  <c r="D230" i="34"/>
  <c r="D259" i="34" s="1"/>
  <c r="D229" i="34"/>
  <c r="D258" i="34" s="1"/>
  <c r="B229" i="34"/>
  <c r="B258" i="34" s="1"/>
  <c r="B202" i="34"/>
  <c r="C202" i="34" s="1"/>
  <c r="B201" i="34"/>
  <c r="C201" i="34" s="1"/>
  <c r="D254" i="34"/>
  <c r="A225" i="34"/>
  <c r="A254" i="34" s="1"/>
  <c r="C196" i="34"/>
  <c r="E201" i="34"/>
  <c r="E230" i="34" s="1"/>
  <c r="C200" i="34"/>
  <c r="E237" i="34"/>
  <c r="E266" i="34" s="1"/>
  <c r="E236" i="34"/>
  <c r="E265" i="34" s="1"/>
  <c r="D237" i="34"/>
  <c r="D266" i="34" s="1"/>
  <c r="D236" i="34"/>
  <c r="D265" i="34" s="1"/>
  <c r="C237" i="34"/>
  <c r="C266" i="34" s="1"/>
  <c r="C236" i="34"/>
  <c r="C265" i="34" s="1"/>
  <c r="B237" i="34"/>
  <c r="B266" i="34" s="1"/>
  <c r="B236" i="34"/>
  <c r="B265" i="34" s="1"/>
  <c r="B225" i="34"/>
  <c r="B254" i="34" s="1"/>
  <c r="C222" i="34"/>
  <c r="C251" i="34" s="1"/>
  <c r="C221" i="34"/>
  <c r="C250" i="34" s="1"/>
  <c r="C220" i="34"/>
  <c r="C249" i="34" s="1"/>
  <c r="C219" i="34"/>
  <c r="C248" i="34" s="1"/>
  <c r="C218" i="34"/>
  <c r="C247" i="34" s="1"/>
  <c r="C217" i="34"/>
  <c r="C246" i="34" s="1"/>
  <c r="C216" i="34"/>
  <c r="C245" i="34" s="1"/>
  <c r="A222" i="34"/>
  <c r="A251" i="34" s="1"/>
  <c r="A221" i="34"/>
  <c r="A250" i="34" s="1"/>
  <c r="A220" i="34"/>
  <c r="A249" i="34" s="1"/>
  <c r="A219" i="34"/>
  <c r="A248" i="34" s="1"/>
  <c r="A218" i="34"/>
  <c r="A247" i="34" s="1"/>
  <c r="A217" i="34"/>
  <c r="B189" i="34"/>
  <c r="B190" i="34" s="1"/>
  <c r="B191" i="34" s="1"/>
  <c r="B192" i="34" s="1"/>
  <c r="B193" i="34" s="1"/>
  <c r="E259" i="34" l="1"/>
  <c r="B218" i="34"/>
  <c r="B219" i="34" s="1"/>
  <c r="B248" i="34" s="1"/>
  <c r="A246" i="34"/>
  <c r="B231" i="34"/>
  <c r="B260" i="34" s="1"/>
  <c r="E258" i="34"/>
  <c r="B230" i="34"/>
  <c r="B259" i="34" s="1"/>
  <c r="C229" i="34"/>
  <c r="C258" i="34" s="1"/>
  <c r="C225" i="34"/>
  <c r="C254" i="34" s="1"/>
  <c r="B220" i="34" l="1"/>
  <c r="B221" i="34" s="1"/>
  <c r="B247" i="34"/>
  <c r="C231" i="34"/>
  <c r="C260" i="34" s="1"/>
  <c r="B249" i="34"/>
  <c r="C230" i="34"/>
  <c r="C259" i="34" s="1"/>
  <c r="B222" i="34" l="1"/>
  <c r="B251" i="34" s="1"/>
  <c r="B250" i="34"/>
  <c r="AZ16" i="114" l="1"/>
  <c r="AY16" i="114"/>
  <c r="AY9" i="114"/>
  <c r="AY14" i="114" s="1"/>
  <c r="BA9" i="114"/>
  <c r="AZ9" i="114"/>
  <c r="AX9" i="114"/>
  <c r="AY13" i="114" s="1"/>
  <c r="BA8" i="114"/>
  <c r="AZ17" i="114" l="1"/>
  <c r="AY17" i="114"/>
  <c r="AZ13" i="114"/>
  <c r="AZ14" i="114"/>
  <c r="H6" i="85"/>
  <c r="H5" i="85"/>
  <c r="E6" i="85"/>
  <c r="E5" i="85"/>
  <c r="E97" i="85" l="1"/>
  <c r="D97" i="85"/>
  <c r="E96" i="85"/>
  <c r="M94" i="85"/>
  <c r="L94" i="85"/>
  <c r="K94" i="85"/>
  <c r="J94" i="85"/>
  <c r="I94" i="85"/>
  <c r="H94" i="85"/>
  <c r="G94" i="85"/>
  <c r="F94" i="85"/>
  <c r="E94" i="85"/>
  <c r="M93" i="85"/>
  <c r="L93" i="85"/>
  <c r="K93" i="85"/>
  <c r="J93" i="85"/>
  <c r="I93" i="85"/>
  <c r="H93" i="85"/>
  <c r="G93" i="85"/>
  <c r="F93" i="85"/>
  <c r="E93" i="85"/>
  <c r="K91" i="85"/>
  <c r="K97" i="85" s="1"/>
  <c r="J91" i="85"/>
  <c r="J97" i="85" s="1"/>
  <c r="I91" i="85"/>
  <c r="I97" i="85" s="1"/>
  <c r="H91" i="85"/>
  <c r="H97" i="85" s="1"/>
  <c r="G91" i="85"/>
  <c r="G97" i="85" s="1"/>
  <c r="F91" i="85"/>
  <c r="F97" i="85" s="1"/>
  <c r="E91" i="85"/>
  <c r="K90" i="85"/>
  <c r="K96" i="85" s="1"/>
  <c r="J90" i="85"/>
  <c r="J96" i="85" s="1"/>
  <c r="I90" i="85"/>
  <c r="I96" i="85" s="1"/>
  <c r="H90" i="85"/>
  <c r="H96" i="85" s="1"/>
  <c r="G90" i="85"/>
  <c r="F90" i="85"/>
  <c r="F96" i="85" s="1"/>
  <c r="E90" i="85"/>
  <c r="R87" i="85"/>
  <c r="D87" i="85"/>
  <c r="C281" i="115" s="1"/>
  <c r="R86" i="85"/>
  <c r="P84" i="85"/>
  <c r="O84" i="85"/>
  <c r="N84" i="85"/>
  <c r="M84" i="85"/>
  <c r="L84" i="85"/>
  <c r="K84" i="85"/>
  <c r="J84" i="85"/>
  <c r="I84" i="85"/>
  <c r="H84" i="85"/>
  <c r="P83" i="85"/>
  <c r="O83" i="85"/>
  <c r="N83" i="85"/>
  <c r="M83" i="85"/>
  <c r="L83" i="85"/>
  <c r="K83" i="85"/>
  <c r="J83" i="85"/>
  <c r="I83" i="85"/>
  <c r="H83" i="85"/>
  <c r="O81" i="85"/>
  <c r="O87" i="85" s="1"/>
  <c r="V287" i="115" s="1"/>
  <c r="N81" i="85"/>
  <c r="N87" i="85" s="1"/>
  <c r="V289" i="115" s="1"/>
  <c r="M81" i="85"/>
  <c r="M87" i="85" s="1"/>
  <c r="BO35" i="121" s="1"/>
  <c r="L81" i="85"/>
  <c r="L87" i="85" s="1"/>
  <c r="V286" i="115" s="1"/>
  <c r="BO33" i="121" s="1"/>
  <c r="J81" i="85"/>
  <c r="J87" i="85" s="1"/>
  <c r="V285" i="115" s="1"/>
  <c r="I81" i="85"/>
  <c r="I87" i="85" s="1"/>
  <c r="BO32" i="121" s="1"/>
  <c r="H81" i="85"/>
  <c r="H87" i="85" s="1"/>
  <c r="O80" i="85"/>
  <c r="O86" i="85" s="1"/>
  <c r="O287" i="115" s="1"/>
  <c r="N80" i="85"/>
  <c r="N86" i="85" s="1"/>
  <c r="O289" i="115" s="1"/>
  <c r="M80" i="85"/>
  <c r="M86" i="85" s="1"/>
  <c r="BB35" i="121" s="1"/>
  <c r="L80" i="85"/>
  <c r="J80" i="85"/>
  <c r="J86" i="85" s="1"/>
  <c r="O285" i="115" s="1"/>
  <c r="I80" i="85"/>
  <c r="I86" i="85" s="1"/>
  <c r="BB32" i="121" s="1"/>
  <c r="H80" i="85"/>
  <c r="H86" i="85" s="1"/>
  <c r="F73" i="85"/>
  <c r="F72" i="85"/>
  <c r="AA56" i="115" s="1"/>
  <c r="F71" i="85"/>
  <c r="D70" i="85"/>
  <c r="E63" i="85"/>
  <c r="E55" i="85"/>
  <c r="J48" i="85"/>
  <c r="J47" i="85"/>
  <c r="H39" i="85"/>
  <c r="H38" i="85"/>
  <c r="J33" i="85"/>
  <c r="H33" i="85"/>
  <c r="I33" i="85" s="1"/>
  <c r="E33" i="85"/>
  <c r="E48" i="85" s="1"/>
  <c r="J32" i="85"/>
  <c r="H32" i="85"/>
  <c r="H47" i="85" s="1"/>
  <c r="E32" i="85"/>
  <c r="E47" i="85" s="1"/>
  <c r="M30" i="85"/>
  <c r="N26" i="85"/>
  <c r="E26" i="85"/>
  <c r="E25" i="85"/>
  <c r="J18" i="85"/>
  <c r="I18" i="85"/>
  <c r="J17" i="85"/>
  <c r="I17" i="85"/>
  <c r="J16" i="85"/>
  <c r="I16" i="85"/>
  <c r="J15" i="85"/>
  <c r="I15" i="85"/>
  <c r="J14" i="85"/>
  <c r="I14" i="85"/>
  <c r="J13" i="85"/>
  <c r="I13" i="85"/>
  <c r="J12" i="85"/>
  <c r="W97" i="85"/>
  <c r="X97" i="85" s="1"/>
  <c r="AH28" i="93" l="1"/>
  <c r="AA52" i="115" s="1"/>
  <c r="BO33" i="122"/>
  <c r="BO35" i="122"/>
  <c r="BB35" i="122"/>
  <c r="BO32" i="122"/>
  <c r="BB32" i="122"/>
  <c r="I75" i="115"/>
  <c r="V288" i="115"/>
  <c r="O288" i="115"/>
  <c r="V282" i="115"/>
  <c r="O282" i="115"/>
  <c r="F74" i="85"/>
  <c r="J72" i="85" s="1"/>
  <c r="AC36" i="93" s="1"/>
  <c r="BG6" i="114"/>
  <c r="L86" i="85"/>
  <c r="O286" i="115" s="1"/>
  <c r="BB33" i="121" s="1"/>
  <c r="J62" i="85"/>
  <c r="V86" i="85" s="1"/>
  <c r="J63" i="85"/>
  <c r="E39" i="85"/>
  <c r="BO42" i="121" s="1"/>
  <c r="I47" i="85"/>
  <c r="F33" i="85"/>
  <c r="F48" i="85" s="1"/>
  <c r="F32" i="85"/>
  <c r="F47" i="85" s="1"/>
  <c r="M42" i="85"/>
  <c r="I32" i="85"/>
  <c r="E38" i="85"/>
  <c r="H48" i="85"/>
  <c r="I48" i="85" s="1"/>
  <c r="G96" i="85"/>
  <c r="M26" i="85"/>
  <c r="M39" i="85" s="1"/>
  <c r="M38" i="85" s="1"/>
  <c r="N25" i="85"/>
  <c r="BB31" i="121" l="1"/>
  <c r="BB36" i="121" s="1"/>
  <c r="B39" i="121"/>
  <c r="BB42" i="121"/>
  <c r="BB33" i="122"/>
  <c r="BO42" i="122"/>
  <c r="AA54" i="115"/>
  <c r="BB42" i="122"/>
  <c r="B39" i="122"/>
  <c r="BB31" i="122"/>
  <c r="BB36" i="122" s="1"/>
  <c r="I69" i="115"/>
  <c r="I67" i="115"/>
  <c r="BF6" i="114"/>
  <c r="I72" i="85"/>
  <c r="M25" i="85"/>
  <c r="M27" i="85" s="1"/>
  <c r="J64" i="85"/>
  <c r="E61" i="85"/>
  <c r="V87" i="85"/>
  <c r="BO31" i="121" s="1"/>
  <c r="BO36" i="121" s="1"/>
  <c r="M40" i="85"/>
  <c r="AI12" i="58"/>
  <c r="CC54" i="58"/>
  <c r="CB54" i="58"/>
  <c r="CA54" i="58"/>
  <c r="BZ54" i="58"/>
  <c r="BY54" i="58"/>
  <c r="CC53" i="58"/>
  <c r="CB53" i="58"/>
  <c r="CA53" i="58"/>
  <c r="BZ53" i="58"/>
  <c r="BY53" i="58"/>
  <c r="CC52" i="58"/>
  <c r="CB52" i="58"/>
  <c r="CA52" i="58"/>
  <c r="BZ52" i="58"/>
  <c r="BY52" i="58"/>
  <c r="CC51" i="58"/>
  <c r="CB51" i="58"/>
  <c r="CA51" i="58"/>
  <c r="BZ51" i="58"/>
  <c r="BY51" i="58"/>
  <c r="CC50" i="58"/>
  <c r="CB50" i="58"/>
  <c r="CA50" i="58"/>
  <c r="BZ50" i="58"/>
  <c r="BY50" i="58"/>
  <c r="CC49" i="58"/>
  <c r="CB49" i="58"/>
  <c r="CA49" i="58"/>
  <c r="BZ49" i="58"/>
  <c r="BY49" i="58"/>
  <c r="CC48" i="58"/>
  <c r="CB48" i="58"/>
  <c r="CA48" i="58"/>
  <c r="BZ48" i="58"/>
  <c r="BY48" i="58"/>
  <c r="CC47" i="58"/>
  <c r="CB47" i="58"/>
  <c r="CA47" i="58"/>
  <c r="BZ47" i="58"/>
  <c r="BY47" i="58"/>
  <c r="CC46" i="58"/>
  <c r="CB46" i="58"/>
  <c r="CA46" i="58"/>
  <c r="BZ46" i="58"/>
  <c r="BY46" i="58"/>
  <c r="CC45" i="58"/>
  <c r="CB45" i="58"/>
  <c r="CA45" i="58"/>
  <c r="BZ45" i="58"/>
  <c r="BY45" i="58"/>
  <c r="CC44" i="58"/>
  <c r="CB44" i="58"/>
  <c r="CA44" i="58"/>
  <c r="BZ44" i="58"/>
  <c r="BY44" i="58"/>
  <c r="CC43" i="58"/>
  <c r="CB43" i="58"/>
  <c r="CA43" i="58"/>
  <c r="BZ43" i="58"/>
  <c r="BY43" i="58"/>
  <c r="CC42" i="58"/>
  <c r="CB42" i="58"/>
  <c r="CA42" i="58"/>
  <c r="BZ42" i="58"/>
  <c r="BY42" i="58"/>
  <c r="CC41" i="58"/>
  <c r="CB41" i="58"/>
  <c r="CA41" i="58"/>
  <c r="BZ41" i="58"/>
  <c r="BY41" i="58"/>
  <c r="CC40" i="58"/>
  <c r="CB40" i="58"/>
  <c r="CA40" i="58"/>
  <c r="BZ40" i="58"/>
  <c r="BY40" i="58"/>
  <c r="CC39" i="58"/>
  <c r="CB39" i="58"/>
  <c r="CA39" i="58"/>
  <c r="BZ39" i="58"/>
  <c r="BY39" i="58"/>
  <c r="CC38" i="58"/>
  <c r="CB38" i="58"/>
  <c r="CA38" i="58"/>
  <c r="BZ38" i="58"/>
  <c r="BY38" i="58"/>
  <c r="CC37" i="58"/>
  <c r="CB37" i="58"/>
  <c r="CA37" i="58"/>
  <c r="BZ37" i="58"/>
  <c r="BY37" i="58"/>
  <c r="CC36" i="58"/>
  <c r="CB36" i="58"/>
  <c r="CA36" i="58"/>
  <c r="BZ36" i="58"/>
  <c r="BY36" i="58"/>
  <c r="CC35" i="58"/>
  <c r="CB35" i="58"/>
  <c r="CA35" i="58"/>
  <c r="BZ35" i="58"/>
  <c r="BY35" i="58"/>
  <c r="CC34" i="58"/>
  <c r="CB34" i="58"/>
  <c r="CA34" i="58"/>
  <c r="BZ34" i="58"/>
  <c r="BY34" i="58"/>
  <c r="CC33" i="58"/>
  <c r="CB33" i="58"/>
  <c r="CA33" i="58"/>
  <c r="BZ33" i="58"/>
  <c r="BY33" i="58"/>
  <c r="CC32" i="58"/>
  <c r="CB32" i="58"/>
  <c r="CA32" i="58"/>
  <c r="BZ32" i="58"/>
  <c r="BY32" i="58"/>
  <c r="CC31" i="58"/>
  <c r="CB31" i="58"/>
  <c r="CA31" i="58"/>
  <c r="BZ31" i="58"/>
  <c r="BY31" i="58"/>
  <c r="CR22" i="58"/>
  <c r="BX16" i="58"/>
  <c r="BU16" i="58"/>
  <c r="BT16" i="58"/>
  <c r="BS16" i="58"/>
  <c r="BV12" i="58"/>
  <c r="BT12" i="58"/>
  <c r="BX11" i="58"/>
  <c r="BW11" i="58"/>
  <c r="BV11" i="58"/>
  <c r="BU11" i="58"/>
  <c r="BT11" i="58"/>
  <c r="BV10" i="58"/>
  <c r="BT10" i="58"/>
  <c r="BM10" i="58"/>
  <c r="BL10" i="58"/>
  <c r="BK10" i="58"/>
  <c r="BJ10" i="58"/>
  <c r="BX9" i="58"/>
  <c r="BW9" i="58"/>
  <c r="BV9" i="58"/>
  <c r="BU9" i="58"/>
  <c r="BT9" i="58"/>
  <c r="BM9" i="58"/>
  <c r="BL9" i="58"/>
  <c r="BK9" i="58"/>
  <c r="BJ9" i="58"/>
  <c r="BX8" i="58"/>
  <c r="BW8" i="58"/>
  <c r="BU8" i="58"/>
  <c r="BM8" i="58"/>
  <c r="BL8" i="58"/>
  <c r="BK8" i="58"/>
  <c r="BJ8" i="58"/>
  <c r="BX7" i="58"/>
  <c r="BW7" i="58"/>
  <c r="BV7" i="58"/>
  <c r="BU7" i="58"/>
  <c r="BT7" i="58"/>
  <c r="BM7" i="58"/>
  <c r="BL7" i="58"/>
  <c r="BK7" i="58"/>
  <c r="BJ7" i="58"/>
  <c r="BX6" i="58"/>
  <c r="BW6" i="58"/>
  <c r="BV6" i="58"/>
  <c r="BU6" i="58"/>
  <c r="BT6" i="58"/>
  <c r="BM6" i="58"/>
  <c r="BL6" i="58"/>
  <c r="BK6" i="58"/>
  <c r="BJ6" i="58"/>
  <c r="CC72" i="58"/>
  <c r="CB72" i="58"/>
  <c r="CA72" i="58"/>
  <c r="BZ72" i="58"/>
  <c r="BY72" i="58"/>
  <c r="CC71" i="58"/>
  <c r="CB71" i="58"/>
  <c r="CA71" i="58"/>
  <c r="BZ71" i="58"/>
  <c r="BY71" i="58"/>
  <c r="CC70" i="58"/>
  <c r="CB70" i="58"/>
  <c r="CA70" i="58"/>
  <c r="BZ70" i="58"/>
  <c r="BY70" i="58"/>
  <c r="CC69" i="58"/>
  <c r="CB69" i="58"/>
  <c r="CA69" i="58"/>
  <c r="BZ69" i="58"/>
  <c r="BY69" i="58"/>
  <c r="CC68" i="58"/>
  <c r="CB68" i="58"/>
  <c r="CA68" i="58"/>
  <c r="BZ68" i="58"/>
  <c r="BY68" i="58"/>
  <c r="CC67" i="58"/>
  <c r="CB67" i="58"/>
  <c r="CA67" i="58"/>
  <c r="BZ67" i="58"/>
  <c r="BY67" i="58"/>
  <c r="CC66" i="58"/>
  <c r="CB66" i="58"/>
  <c r="CA66" i="58"/>
  <c r="BZ66" i="58"/>
  <c r="BY66" i="58"/>
  <c r="CC65" i="58"/>
  <c r="CB65" i="58"/>
  <c r="CA65" i="58"/>
  <c r="BZ65" i="58"/>
  <c r="BY65" i="58"/>
  <c r="CC64" i="58"/>
  <c r="CB64" i="58"/>
  <c r="CA64" i="58"/>
  <c r="BZ64" i="58"/>
  <c r="BY64" i="58"/>
  <c r="CC63" i="58"/>
  <c r="CB63" i="58"/>
  <c r="CA63" i="58"/>
  <c r="BZ63" i="58"/>
  <c r="BY63" i="58"/>
  <c r="CC62" i="58"/>
  <c r="CB62" i="58"/>
  <c r="CA62" i="58"/>
  <c r="BZ62" i="58"/>
  <c r="BY62" i="58"/>
  <c r="CC61" i="58"/>
  <c r="CB61" i="58"/>
  <c r="CA61" i="58"/>
  <c r="BZ61" i="58"/>
  <c r="BY61" i="58"/>
  <c r="CC60" i="58"/>
  <c r="CB60" i="58"/>
  <c r="CA60" i="58"/>
  <c r="BZ60" i="58"/>
  <c r="BY60" i="58"/>
  <c r="CC59" i="58"/>
  <c r="CB59" i="58"/>
  <c r="CA59" i="58"/>
  <c r="BZ59" i="58"/>
  <c r="BY59" i="58"/>
  <c r="CC58" i="58"/>
  <c r="CB58" i="58"/>
  <c r="CA58" i="58"/>
  <c r="BZ58" i="58"/>
  <c r="BY58" i="58"/>
  <c r="CC57" i="58"/>
  <c r="CB57" i="58"/>
  <c r="CA57" i="58"/>
  <c r="BZ57" i="58"/>
  <c r="BY57" i="58"/>
  <c r="CC56" i="58"/>
  <c r="CB56" i="58"/>
  <c r="CA56" i="58"/>
  <c r="BZ56" i="58"/>
  <c r="BY56" i="58"/>
  <c r="CC55" i="58"/>
  <c r="CB55" i="58"/>
  <c r="CA55" i="58"/>
  <c r="BZ55" i="58"/>
  <c r="BY55" i="58"/>
  <c r="B28" i="121" l="1"/>
  <c r="BO31" i="122"/>
  <c r="BO36" i="122" s="1"/>
  <c r="B28" i="122"/>
  <c r="I73" i="115"/>
  <c r="M28" i="85"/>
  <c r="M31" i="85" s="1"/>
  <c r="N39" i="85"/>
  <c r="N38" i="85"/>
  <c r="AV280" i="115" s="1"/>
  <c r="M43" i="85"/>
  <c r="BW16" i="58"/>
  <c r="BB46" i="121" l="1"/>
  <c r="BB47" i="121" s="1"/>
  <c r="AV279" i="115"/>
  <c r="BB44" i="121"/>
  <c r="BB46" i="122"/>
  <c r="BB47" i="122" s="1"/>
  <c r="BB44" i="122"/>
  <c r="AO279" i="115"/>
  <c r="AC278" i="115"/>
  <c r="AO280" i="115"/>
  <c r="N47" i="85"/>
  <c r="N48" i="85" s="1"/>
  <c r="AC281" i="115" s="1"/>
  <c r="E51" i="114"/>
  <c r="D51" i="114"/>
  <c r="J48" i="114"/>
  <c r="Y44" i="114"/>
  <c r="Y43" i="114"/>
  <c r="Y42" i="114"/>
  <c r="Y41" i="114"/>
  <c r="Y40" i="114"/>
  <c r="Y39" i="114"/>
  <c r="I39" i="114"/>
  <c r="Y38" i="114"/>
  <c r="I38" i="114"/>
  <c r="Y37" i="114"/>
  <c r="Y36" i="114"/>
  <c r="Y35" i="114"/>
  <c r="D35" i="114"/>
  <c r="Y34" i="114"/>
  <c r="D34" i="114"/>
  <c r="Y33" i="114"/>
  <c r="Y32" i="114"/>
  <c r="Y31" i="114"/>
  <c r="Y30" i="114"/>
  <c r="J30" i="114"/>
  <c r="Y29" i="114"/>
  <c r="J29" i="114"/>
  <c r="Y28" i="114"/>
  <c r="E28" i="114"/>
  <c r="D28" i="114"/>
  <c r="BG59" i="93" s="1"/>
  <c r="C28" i="114"/>
  <c r="BG61" i="93" s="1"/>
  <c r="Y27" i="114"/>
  <c r="E27" i="114"/>
  <c r="D27" i="114"/>
  <c r="BF59" i="93" s="1"/>
  <c r="C27" i="114"/>
  <c r="BF61" i="93" s="1"/>
  <c r="Y26" i="114"/>
  <c r="E26" i="114"/>
  <c r="D26" i="114"/>
  <c r="BE59" i="93" s="1"/>
  <c r="C26" i="114"/>
  <c r="BE61" i="93" s="1"/>
  <c r="Y25" i="114"/>
  <c r="CU121" i="115" s="1"/>
  <c r="E25" i="114"/>
  <c r="D25" i="114"/>
  <c r="BD59" i="93" s="1"/>
  <c r="C25" i="114"/>
  <c r="BD61" i="93" s="1"/>
  <c r="E24" i="114"/>
  <c r="D24" i="114"/>
  <c r="BC59" i="93" s="1"/>
  <c r="C24" i="114"/>
  <c r="BC61" i="93" s="1"/>
  <c r="E23" i="114"/>
  <c r="D23" i="114"/>
  <c r="BB59" i="93" s="1"/>
  <c r="C23" i="114"/>
  <c r="BB61" i="93" s="1"/>
  <c r="AR132" i="115"/>
  <c r="E22" i="114"/>
  <c r="D22" i="114"/>
  <c r="BA59" i="93" s="1"/>
  <c r="C22" i="114"/>
  <c r="BA61" i="93" s="1"/>
  <c r="AO132" i="115"/>
  <c r="E21" i="114"/>
  <c r="D21" i="114"/>
  <c r="AZ59" i="93" s="1"/>
  <c r="C21" i="114"/>
  <c r="AZ61" i="93" s="1"/>
  <c r="AL132" i="115"/>
  <c r="E20" i="114"/>
  <c r="D20" i="114"/>
  <c r="AY59" i="93" s="1"/>
  <c r="C20" i="114"/>
  <c r="AY61" i="93" s="1"/>
  <c r="AI132" i="115"/>
  <c r="E19" i="114"/>
  <c r="D19" i="114"/>
  <c r="AX59" i="93" s="1"/>
  <c r="C19" i="114"/>
  <c r="AX61" i="93" s="1"/>
  <c r="AF132" i="115"/>
  <c r="E18" i="114"/>
  <c r="D18" i="114"/>
  <c r="AW59" i="93" s="1"/>
  <c r="C18" i="114"/>
  <c r="AW61" i="93" s="1"/>
  <c r="AC132" i="115"/>
  <c r="E17" i="114"/>
  <c r="D17" i="114"/>
  <c r="AV59" i="93" s="1"/>
  <c r="C17" i="114"/>
  <c r="AV61" i="93" s="1"/>
  <c r="Z132" i="115"/>
  <c r="E16" i="114"/>
  <c r="D16" i="114"/>
  <c r="AU59" i="93" s="1"/>
  <c r="C16" i="114"/>
  <c r="AU61" i="93" s="1"/>
  <c r="W132" i="115"/>
  <c r="E15" i="114"/>
  <c r="D15" i="114"/>
  <c r="AT59" i="93" s="1"/>
  <c r="C15" i="114"/>
  <c r="AT61" i="93" s="1"/>
  <c r="T132" i="115"/>
  <c r="E14" i="114"/>
  <c r="D14" i="114"/>
  <c r="AS59" i="93" s="1"/>
  <c r="C14" i="114"/>
  <c r="AS61" i="93" s="1"/>
  <c r="Q132" i="115"/>
  <c r="N132" i="115"/>
  <c r="K132" i="115"/>
  <c r="H132" i="115"/>
  <c r="P9" i="114"/>
  <c r="P8" i="114"/>
  <c r="AH44" i="114"/>
  <c r="AL44" i="114" s="1"/>
  <c r="AG44" i="114"/>
  <c r="AK44" i="114" s="1"/>
  <c r="AF44" i="114"/>
  <c r="AJ44" i="114" s="1"/>
  <c r="AI44" i="114"/>
  <c r="X44" i="114"/>
  <c r="AB44" i="114" s="1"/>
  <c r="W44" i="114"/>
  <c r="AA44" i="114" s="1"/>
  <c r="V44" i="114"/>
  <c r="Z44" i="114" s="1"/>
  <c r="AH43" i="114"/>
  <c r="AL43" i="114" s="1"/>
  <c r="AG43" i="114"/>
  <c r="AK43" i="114" s="1"/>
  <c r="AF43" i="114"/>
  <c r="AJ43" i="114" s="1"/>
  <c r="AI43" i="114"/>
  <c r="X43" i="114"/>
  <c r="AB43" i="114" s="1"/>
  <c r="W43" i="114"/>
  <c r="AA43" i="114" s="1"/>
  <c r="V43" i="114"/>
  <c r="Z43" i="114" s="1"/>
  <c r="AH42" i="114"/>
  <c r="AL42" i="114" s="1"/>
  <c r="AG42" i="114"/>
  <c r="AK42" i="114" s="1"/>
  <c r="AF42" i="114"/>
  <c r="AJ42" i="114" s="1"/>
  <c r="AI42" i="114"/>
  <c r="X42" i="114"/>
  <c r="AB42" i="114" s="1"/>
  <c r="W42" i="114"/>
  <c r="AA42" i="114" s="1"/>
  <c r="V42" i="114"/>
  <c r="Z42" i="114" s="1"/>
  <c r="AH41" i="114"/>
  <c r="AL41" i="114" s="1"/>
  <c r="AG41" i="114"/>
  <c r="AK41" i="114" s="1"/>
  <c r="AF41" i="114"/>
  <c r="AJ41" i="114" s="1"/>
  <c r="AI41" i="114"/>
  <c r="X41" i="114"/>
  <c r="AB41" i="114" s="1"/>
  <c r="W41" i="114"/>
  <c r="AA41" i="114" s="1"/>
  <c r="V41" i="114"/>
  <c r="Z41" i="114" s="1"/>
  <c r="AH40" i="114"/>
  <c r="AL40" i="114" s="1"/>
  <c r="AG40" i="114"/>
  <c r="AK40" i="114" s="1"/>
  <c r="AF40" i="114"/>
  <c r="AJ40" i="114" s="1"/>
  <c r="AI40" i="114"/>
  <c r="X40" i="114"/>
  <c r="AB40" i="114" s="1"/>
  <c r="W40" i="114"/>
  <c r="AA40" i="114" s="1"/>
  <c r="V40" i="114"/>
  <c r="Z40" i="114" s="1"/>
  <c r="AH39" i="114"/>
  <c r="AL39" i="114" s="1"/>
  <c r="AG39" i="114"/>
  <c r="AK39" i="114" s="1"/>
  <c r="AF39" i="114"/>
  <c r="AJ39" i="114" s="1"/>
  <c r="AI39" i="114"/>
  <c r="X39" i="114"/>
  <c r="AB39" i="114" s="1"/>
  <c r="W39" i="114"/>
  <c r="AA39" i="114" s="1"/>
  <c r="V39" i="114"/>
  <c r="Z39" i="114" s="1"/>
  <c r="AH38" i="114"/>
  <c r="AL38" i="114" s="1"/>
  <c r="AG38" i="114"/>
  <c r="AK38" i="114" s="1"/>
  <c r="AF38" i="114"/>
  <c r="AJ38" i="114" s="1"/>
  <c r="AI38" i="114"/>
  <c r="X38" i="114"/>
  <c r="AB38" i="114" s="1"/>
  <c r="W38" i="114"/>
  <c r="AA38" i="114" s="1"/>
  <c r="V38" i="114"/>
  <c r="Z38" i="114" s="1"/>
  <c r="AH37" i="114"/>
  <c r="AL37" i="114" s="1"/>
  <c r="AG37" i="114"/>
  <c r="AK37" i="114" s="1"/>
  <c r="AF37" i="114"/>
  <c r="AJ37" i="114" s="1"/>
  <c r="AI37" i="114"/>
  <c r="X37" i="114"/>
  <c r="AB37" i="114" s="1"/>
  <c r="W37" i="114"/>
  <c r="AA37" i="114" s="1"/>
  <c r="V37" i="114"/>
  <c r="Z37" i="114" s="1"/>
  <c r="AH36" i="114"/>
  <c r="AL36" i="114" s="1"/>
  <c r="AG36" i="114"/>
  <c r="AK36" i="114" s="1"/>
  <c r="AF36" i="114"/>
  <c r="AJ36" i="114" s="1"/>
  <c r="AI36" i="114"/>
  <c r="X36" i="114"/>
  <c r="AB36" i="114" s="1"/>
  <c r="W36" i="114"/>
  <c r="AA36" i="114" s="1"/>
  <c r="V36" i="114"/>
  <c r="Z36" i="114" s="1"/>
  <c r="AH35" i="114"/>
  <c r="AL35" i="114" s="1"/>
  <c r="AG35" i="114"/>
  <c r="AK35" i="114" s="1"/>
  <c r="AF35" i="114"/>
  <c r="AJ35" i="114" s="1"/>
  <c r="AI35" i="114"/>
  <c r="X35" i="114"/>
  <c r="AB35" i="114" s="1"/>
  <c r="W35" i="114"/>
  <c r="AA35" i="114" s="1"/>
  <c r="V35" i="114"/>
  <c r="Z35" i="114" s="1"/>
  <c r="AH34" i="114"/>
  <c r="AL34" i="114" s="1"/>
  <c r="AG34" i="114"/>
  <c r="AK34" i="114" s="1"/>
  <c r="AF34" i="114"/>
  <c r="AJ34" i="114" s="1"/>
  <c r="AI34" i="114"/>
  <c r="X34" i="114"/>
  <c r="AB34" i="114" s="1"/>
  <c r="W34" i="114"/>
  <c r="AA34" i="114" s="1"/>
  <c r="V34" i="114"/>
  <c r="Z34" i="114" s="1"/>
  <c r="AH33" i="114"/>
  <c r="AL33" i="114" s="1"/>
  <c r="AG33" i="114"/>
  <c r="AK33" i="114" s="1"/>
  <c r="AF33" i="114"/>
  <c r="AJ33" i="114" s="1"/>
  <c r="AI33" i="114"/>
  <c r="X33" i="114"/>
  <c r="AB33" i="114" s="1"/>
  <c r="W33" i="114"/>
  <c r="AA33" i="114" s="1"/>
  <c r="V33" i="114"/>
  <c r="Z33" i="114" s="1"/>
  <c r="AH32" i="114"/>
  <c r="AL32" i="114" s="1"/>
  <c r="AG32" i="114"/>
  <c r="AK32" i="114" s="1"/>
  <c r="AF32" i="114"/>
  <c r="AJ32" i="114" s="1"/>
  <c r="AI32" i="114"/>
  <c r="X32" i="114"/>
  <c r="AB32" i="114" s="1"/>
  <c r="W32" i="114"/>
  <c r="AA32" i="114" s="1"/>
  <c r="V32" i="114"/>
  <c r="Z32" i="114" s="1"/>
  <c r="AH31" i="114"/>
  <c r="AL31" i="114" s="1"/>
  <c r="AG31" i="114"/>
  <c r="AK31" i="114" s="1"/>
  <c r="AF31" i="114"/>
  <c r="AJ31" i="114" s="1"/>
  <c r="AI31" i="114"/>
  <c r="X31" i="114"/>
  <c r="AB31" i="114" s="1"/>
  <c r="W31" i="114"/>
  <c r="AA31" i="114" s="1"/>
  <c r="V31" i="114"/>
  <c r="Z31" i="114" s="1"/>
  <c r="AH30" i="114"/>
  <c r="AL30" i="114" s="1"/>
  <c r="AG30" i="114"/>
  <c r="AK30" i="114" s="1"/>
  <c r="AF30" i="114"/>
  <c r="AJ30" i="114" s="1"/>
  <c r="AI30" i="114"/>
  <c r="X30" i="114"/>
  <c r="AB30" i="114" s="1"/>
  <c r="W30" i="114"/>
  <c r="AA30" i="114" s="1"/>
  <c r="V30" i="114"/>
  <c r="Z30" i="114" s="1"/>
  <c r="AH29" i="114"/>
  <c r="AL29" i="114" s="1"/>
  <c r="AG29" i="114"/>
  <c r="AK29" i="114" s="1"/>
  <c r="AF29" i="114"/>
  <c r="AJ29" i="114" s="1"/>
  <c r="AI29" i="114"/>
  <c r="X29" i="114"/>
  <c r="AB29" i="114" s="1"/>
  <c r="W29" i="114"/>
  <c r="AA29" i="114" s="1"/>
  <c r="V29" i="114"/>
  <c r="Z29" i="114" s="1"/>
  <c r="AH28" i="114"/>
  <c r="AL28" i="114" s="1"/>
  <c r="AG28" i="114"/>
  <c r="AK28" i="114" s="1"/>
  <c r="AF28" i="114"/>
  <c r="AJ28" i="114" s="1"/>
  <c r="AI28" i="114"/>
  <c r="X28" i="114"/>
  <c r="AB28" i="114" s="1"/>
  <c r="W28" i="114"/>
  <c r="AA28" i="114" s="1"/>
  <c r="V28" i="114"/>
  <c r="Z28" i="114" s="1"/>
  <c r="AH27" i="114"/>
  <c r="AL27" i="114" s="1"/>
  <c r="AG27" i="114"/>
  <c r="AK27" i="114" s="1"/>
  <c r="AF27" i="114"/>
  <c r="AJ27" i="114" s="1"/>
  <c r="AI27" i="114"/>
  <c r="X27" i="114"/>
  <c r="AB27" i="114" s="1"/>
  <c r="W27" i="114"/>
  <c r="AA27" i="114" s="1"/>
  <c r="V27" i="114"/>
  <c r="Z27" i="114" s="1"/>
  <c r="AH26" i="114"/>
  <c r="AL26" i="114" s="1"/>
  <c r="AG26" i="114"/>
  <c r="AK26" i="114" s="1"/>
  <c r="AF26" i="114"/>
  <c r="AJ26" i="114" s="1"/>
  <c r="AI26" i="114"/>
  <c r="X26" i="114"/>
  <c r="AB26" i="114" s="1"/>
  <c r="W26" i="114"/>
  <c r="AA26" i="114" s="1"/>
  <c r="V26" i="114"/>
  <c r="Z26" i="114" s="1"/>
  <c r="AH25" i="114"/>
  <c r="AL25" i="114" s="1"/>
  <c r="AG25" i="114"/>
  <c r="AK25" i="114" s="1"/>
  <c r="AF25" i="114"/>
  <c r="AJ25" i="114" s="1"/>
  <c r="AI25" i="114"/>
  <c r="X25" i="114"/>
  <c r="AB25" i="114" s="1"/>
  <c r="W25" i="114"/>
  <c r="AA25" i="114" s="1"/>
  <c r="V25" i="114"/>
  <c r="AH24" i="114"/>
  <c r="AL24" i="114" s="1"/>
  <c r="AX180" i="115" s="1"/>
  <c r="AG24" i="114"/>
  <c r="AK24" i="114" s="1"/>
  <c r="AX178" i="115" s="1"/>
  <c r="AF24" i="114"/>
  <c r="X24" i="114"/>
  <c r="AB24" i="114" s="1"/>
  <c r="AX144" i="115" s="1"/>
  <c r="W24" i="114"/>
  <c r="AA24" i="114" s="1"/>
  <c r="AX142" i="115" s="1"/>
  <c r="V24" i="114"/>
  <c r="AH23" i="114"/>
  <c r="AL23" i="114" s="1"/>
  <c r="AU180" i="115" s="1"/>
  <c r="AG23" i="114"/>
  <c r="AK23" i="114" s="1"/>
  <c r="AU178" i="115" s="1"/>
  <c r="AF23" i="114"/>
  <c r="AR170" i="115" s="1"/>
  <c r="X23" i="114"/>
  <c r="AB23" i="114" s="1"/>
  <c r="AU144" i="115" s="1"/>
  <c r="W23" i="114"/>
  <c r="AA23" i="114" s="1"/>
  <c r="AU142" i="115" s="1"/>
  <c r="V23" i="114"/>
  <c r="AR134" i="115" s="1"/>
  <c r="AH22" i="114"/>
  <c r="AL22" i="114" s="1"/>
  <c r="AR180" i="115" s="1"/>
  <c r="AG22" i="114"/>
  <c r="AK22" i="114" s="1"/>
  <c r="AR178" i="115" s="1"/>
  <c r="AF22" i="114"/>
  <c r="AO170" i="115" s="1"/>
  <c r="AR168" i="115"/>
  <c r="X22" i="114"/>
  <c r="AB22" i="114" s="1"/>
  <c r="AR144" i="115" s="1"/>
  <c r="W22" i="114"/>
  <c r="AA22" i="114" s="1"/>
  <c r="AR142" i="115" s="1"/>
  <c r="V22" i="114"/>
  <c r="AO134" i="115" s="1"/>
  <c r="AH21" i="114"/>
  <c r="AL21" i="114" s="1"/>
  <c r="AO180" i="115" s="1"/>
  <c r="AG21" i="114"/>
  <c r="AK21" i="114" s="1"/>
  <c r="AO178" i="115" s="1"/>
  <c r="AF21" i="114"/>
  <c r="AL170" i="115" s="1"/>
  <c r="AO168" i="115"/>
  <c r="X21" i="114"/>
  <c r="AB21" i="114" s="1"/>
  <c r="AO144" i="115" s="1"/>
  <c r="W21" i="114"/>
  <c r="AA21" i="114" s="1"/>
  <c r="AO142" i="115" s="1"/>
  <c r="V21" i="114"/>
  <c r="AL134" i="115" s="1"/>
  <c r="AH20" i="114"/>
  <c r="AL20" i="114" s="1"/>
  <c r="AL180" i="115" s="1"/>
  <c r="AG20" i="114"/>
  <c r="AK20" i="114" s="1"/>
  <c r="AL178" i="115" s="1"/>
  <c r="AF20" i="114"/>
  <c r="AI170" i="115" s="1"/>
  <c r="AL168" i="115"/>
  <c r="X20" i="114"/>
  <c r="AB20" i="114" s="1"/>
  <c r="AL144" i="115" s="1"/>
  <c r="W20" i="114"/>
  <c r="AA20" i="114" s="1"/>
  <c r="AL142" i="115" s="1"/>
  <c r="V20" i="114"/>
  <c r="AI134" i="115" s="1"/>
  <c r="AH19" i="114"/>
  <c r="AL19" i="114" s="1"/>
  <c r="AI180" i="115" s="1"/>
  <c r="AG19" i="114"/>
  <c r="AK19" i="114" s="1"/>
  <c r="AI178" i="115" s="1"/>
  <c r="AF19" i="114"/>
  <c r="AF170" i="115" s="1"/>
  <c r="AI168" i="115"/>
  <c r="X19" i="114"/>
  <c r="AB19" i="114" s="1"/>
  <c r="AI144" i="115" s="1"/>
  <c r="W19" i="114"/>
  <c r="AA19" i="114" s="1"/>
  <c r="AI142" i="115" s="1"/>
  <c r="V19" i="114"/>
  <c r="AF134" i="115" s="1"/>
  <c r="AH18" i="114"/>
  <c r="AL18" i="114" s="1"/>
  <c r="AF180" i="115" s="1"/>
  <c r="AG18" i="114"/>
  <c r="AK18" i="114" s="1"/>
  <c r="AF178" i="115" s="1"/>
  <c r="AF18" i="114"/>
  <c r="AC170" i="115" s="1"/>
  <c r="AF168" i="115"/>
  <c r="X18" i="114"/>
  <c r="AB18" i="114" s="1"/>
  <c r="AF144" i="115" s="1"/>
  <c r="W18" i="114"/>
  <c r="AA18" i="114" s="1"/>
  <c r="AF142" i="115" s="1"/>
  <c r="V18" i="114"/>
  <c r="AC134" i="115" s="1"/>
  <c r="AH17" i="114"/>
  <c r="AL17" i="114" s="1"/>
  <c r="AC180" i="115" s="1"/>
  <c r="AG17" i="114"/>
  <c r="AK17" i="114" s="1"/>
  <c r="AC178" i="115" s="1"/>
  <c r="AF17" i="114"/>
  <c r="Z170" i="115" s="1"/>
  <c r="AC168" i="115"/>
  <c r="X17" i="114"/>
  <c r="AB17" i="114" s="1"/>
  <c r="AC144" i="115" s="1"/>
  <c r="W17" i="114"/>
  <c r="AA17" i="114" s="1"/>
  <c r="AC142" i="115" s="1"/>
  <c r="V17" i="114"/>
  <c r="Z134" i="115" s="1"/>
  <c r="AH16" i="114"/>
  <c r="AL16" i="114" s="1"/>
  <c r="Z180" i="115" s="1"/>
  <c r="AG16" i="114"/>
  <c r="AK16" i="114" s="1"/>
  <c r="Z178" i="115" s="1"/>
  <c r="AF16" i="114"/>
  <c r="W170" i="115" s="1"/>
  <c r="Z168" i="115"/>
  <c r="X16" i="114"/>
  <c r="AB16" i="114" s="1"/>
  <c r="Z144" i="115" s="1"/>
  <c r="W16" i="114"/>
  <c r="AA16" i="114" s="1"/>
  <c r="Z142" i="115" s="1"/>
  <c r="V16" i="114"/>
  <c r="W134" i="115" s="1"/>
  <c r="AH15" i="114"/>
  <c r="AL15" i="114" s="1"/>
  <c r="W180" i="115" s="1"/>
  <c r="AG15" i="114"/>
  <c r="AK15" i="114" s="1"/>
  <c r="W178" i="115" s="1"/>
  <c r="AF15" i="114"/>
  <c r="T170" i="115" s="1"/>
  <c r="W168" i="115"/>
  <c r="X15" i="114"/>
  <c r="AB15" i="114" s="1"/>
  <c r="W144" i="115" s="1"/>
  <c r="W15" i="114"/>
  <c r="AA15" i="114" s="1"/>
  <c r="W142" i="115" s="1"/>
  <c r="V15" i="114"/>
  <c r="T134" i="115" s="1"/>
  <c r="AH14" i="114"/>
  <c r="AL14" i="114" s="1"/>
  <c r="T180" i="115" s="1"/>
  <c r="AG14" i="114"/>
  <c r="AK14" i="114" s="1"/>
  <c r="T178" i="115" s="1"/>
  <c r="AF14" i="114"/>
  <c r="Q170" i="115" s="1"/>
  <c r="T168" i="115"/>
  <c r="X14" i="114"/>
  <c r="AB14" i="114" s="1"/>
  <c r="T144" i="115" s="1"/>
  <c r="W14" i="114"/>
  <c r="AA14" i="114" s="1"/>
  <c r="T142" i="115" s="1"/>
  <c r="V14" i="114"/>
  <c r="Q134" i="115" s="1"/>
  <c r="AH13" i="114"/>
  <c r="AL13" i="114" s="1"/>
  <c r="Q180" i="115" s="1"/>
  <c r="AG13" i="114"/>
  <c r="AK13" i="114" s="1"/>
  <c r="Q178" i="115" s="1"/>
  <c r="AF13" i="114"/>
  <c r="N170" i="115" s="1"/>
  <c r="Q168" i="115"/>
  <c r="X13" i="114"/>
  <c r="AB13" i="114" s="1"/>
  <c r="Q144" i="115" s="1"/>
  <c r="W13" i="114"/>
  <c r="AA13" i="114" s="1"/>
  <c r="Q142" i="115" s="1"/>
  <c r="V13" i="114"/>
  <c r="N134" i="115" s="1"/>
  <c r="AH12" i="114"/>
  <c r="AL12" i="114" s="1"/>
  <c r="N180" i="115" s="1"/>
  <c r="AG12" i="114"/>
  <c r="AK12" i="114" s="1"/>
  <c r="N178" i="115" s="1"/>
  <c r="AF12" i="114"/>
  <c r="K170" i="115" s="1"/>
  <c r="N168" i="115"/>
  <c r="X12" i="114"/>
  <c r="AB12" i="114" s="1"/>
  <c r="N144" i="115" s="1"/>
  <c r="W12" i="114"/>
  <c r="AA12" i="114" s="1"/>
  <c r="N142" i="115" s="1"/>
  <c r="V12" i="114"/>
  <c r="K134" i="115" s="1"/>
  <c r="AH11" i="114"/>
  <c r="AL11" i="114" s="1"/>
  <c r="K180" i="115" s="1"/>
  <c r="AG11" i="114"/>
  <c r="AK11" i="114" s="1"/>
  <c r="K178" i="115" s="1"/>
  <c r="AF11" i="114"/>
  <c r="H170" i="115" s="1"/>
  <c r="K168" i="115"/>
  <c r="X11" i="114"/>
  <c r="AB11" i="114" s="1"/>
  <c r="K144" i="115" s="1"/>
  <c r="W11" i="114"/>
  <c r="AA11" i="114" s="1"/>
  <c r="K142" i="115" s="1"/>
  <c r="V11" i="114"/>
  <c r="H134" i="115" s="1"/>
  <c r="AH10" i="114"/>
  <c r="AL10" i="114" s="1"/>
  <c r="H180" i="115" s="1"/>
  <c r="AG10" i="114"/>
  <c r="AK10" i="114" s="1"/>
  <c r="H178" i="115" s="1"/>
  <c r="AF10" i="114"/>
  <c r="AJ10" i="114" s="1"/>
  <c r="H168" i="115"/>
  <c r="X10" i="114"/>
  <c r="AB10" i="114" s="1"/>
  <c r="H144" i="115" s="1"/>
  <c r="W10" i="114"/>
  <c r="AA10" i="114" s="1"/>
  <c r="H142" i="115" s="1"/>
  <c r="V10" i="114"/>
  <c r="Z10" i="114" s="1"/>
  <c r="AO2" i="114"/>
  <c r="AC172" i="115" s="1"/>
  <c r="BE65" i="93" l="1"/>
  <c r="BE69" i="93" s="1"/>
  <c r="BE72" i="93" s="1"/>
  <c r="BE74" i="93" s="1"/>
  <c r="BF65" i="93"/>
  <c r="BF69" i="93" s="1"/>
  <c r="BF72" i="93" s="1"/>
  <c r="BF74" i="93" s="1"/>
  <c r="BG65" i="93"/>
  <c r="BG67" i="93" s="1"/>
  <c r="AS65" i="93"/>
  <c r="AS69" i="93" s="1"/>
  <c r="AS72" i="93" s="1"/>
  <c r="AS74" i="93" s="1"/>
  <c r="AT65" i="93"/>
  <c r="AT69" i="93" s="1"/>
  <c r="AT72" i="93" s="1"/>
  <c r="AT74" i="93" s="1"/>
  <c r="AU65" i="93"/>
  <c r="AU67" i="93" s="1"/>
  <c r="AV65" i="93"/>
  <c r="AV67" i="93" s="1"/>
  <c r="AW65" i="93"/>
  <c r="AW67" i="93" s="1"/>
  <c r="AX65" i="93"/>
  <c r="AX69" i="93" s="1"/>
  <c r="AX72" i="93" s="1"/>
  <c r="AX74" i="93" s="1"/>
  <c r="AY65" i="93"/>
  <c r="AY67" i="93" s="1"/>
  <c r="AZ65" i="93"/>
  <c r="AZ69" i="93" s="1"/>
  <c r="AZ72" i="93" s="1"/>
  <c r="AZ74" i="93" s="1"/>
  <c r="BA65" i="93"/>
  <c r="BA67" i="93" s="1"/>
  <c r="BB65" i="93"/>
  <c r="BB67" i="93" s="1"/>
  <c r="BD65" i="93"/>
  <c r="BD67" i="93" s="1"/>
  <c r="BC65" i="93"/>
  <c r="BC69" i="93" s="1"/>
  <c r="BC72" i="93" s="1"/>
  <c r="BC74" i="93" s="1"/>
  <c r="AS67" i="93"/>
  <c r="AT67" i="93"/>
  <c r="BF67" i="93"/>
  <c r="BO46" i="121"/>
  <c r="BO47" i="121" s="1"/>
  <c r="BB45" i="121"/>
  <c r="BO44" i="121"/>
  <c r="BO45" i="121" s="1"/>
  <c r="D22" i="121"/>
  <c r="BO46" i="122"/>
  <c r="BO47" i="122" s="1"/>
  <c r="K88" i="115"/>
  <c r="Q88" i="115"/>
  <c r="W88" i="115"/>
  <c r="K91" i="115"/>
  <c r="Q91" i="115"/>
  <c r="W91" i="115"/>
  <c r="AC91" i="115"/>
  <c r="D22" i="122"/>
  <c r="BB45" i="122"/>
  <c r="BO44" i="122"/>
  <c r="BO45" i="122" s="1"/>
  <c r="Z12" i="114"/>
  <c r="K127" i="115" s="1"/>
  <c r="Z14" i="114"/>
  <c r="Q127" i="115" s="1"/>
  <c r="Z13" i="114"/>
  <c r="N127" i="115" s="1"/>
  <c r="Z17" i="114"/>
  <c r="Z127" i="115" s="1"/>
  <c r="Z21" i="114"/>
  <c r="AL127" i="115" s="1"/>
  <c r="Z25" i="114"/>
  <c r="AX127" i="115" s="1"/>
  <c r="AX134" i="115"/>
  <c r="Y12" i="114"/>
  <c r="N125" i="115" s="1"/>
  <c r="Z24" i="114"/>
  <c r="AU127" i="115" s="1"/>
  <c r="AU134" i="115"/>
  <c r="Y13" i="114"/>
  <c r="Q125" i="115" s="1"/>
  <c r="Y14" i="114"/>
  <c r="T125" i="115" s="1"/>
  <c r="Y15" i="114"/>
  <c r="W125" i="115" s="1"/>
  <c r="Y16" i="114"/>
  <c r="Z125" i="115" s="1"/>
  <c r="Y17" i="114"/>
  <c r="AC125" i="115" s="1"/>
  <c r="Y18" i="114"/>
  <c r="AF125" i="115" s="1"/>
  <c r="Y19" i="114"/>
  <c r="AI125" i="115" s="1"/>
  <c r="Y20" i="114"/>
  <c r="AL125" i="115" s="1"/>
  <c r="Y21" i="114"/>
  <c r="AO125" i="115" s="1"/>
  <c r="Y22" i="114"/>
  <c r="AR125" i="115" s="1"/>
  <c r="Y23" i="114"/>
  <c r="AU125" i="115" s="1"/>
  <c r="AU132" i="115"/>
  <c r="Y24" i="114"/>
  <c r="AX125" i="115" s="1"/>
  <c r="AX132" i="115"/>
  <c r="Z16" i="114"/>
  <c r="W127" i="115" s="1"/>
  <c r="Z20" i="114"/>
  <c r="AI127" i="115" s="1"/>
  <c r="Z11" i="114"/>
  <c r="H127" i="115" s="1"/>
  <c r="Z15" i="114"/>
  <c r="T127" i="115" s="1"/>
  <c r="Z19" i="114"/>
  <c r="AF127" i="115" s="1"/>
  <c r="Z23" i="114"/>
  <c r="AR127" i="115" s="1"/>
  <c r="Y10" i="114"/>
  <c r="H125" i="115" s="1"/>
  <c r="Z18" i="114"/>
  <c r="AC127" i="115" s="1"/>
  <c r="Z22" i="114"/>
  <c r="AO127" i="115" s="1"/>
  <c r="Y11" i="114"/>
  <c r="K125" i="115" s="1"/>
  <c r="P46" i="114"/>
  <c r="P48" i="114"/>
  <c r="AJ13" i="114"/>
  <c r="N163" i="115" s="1"/>
  <c r="P52" i="114"/>
  <c r="AJ17" i="114"/>
  <c r="Z163" i="115" s="1"/>
  <c r="P56" i="114"/>
  <c r="AJ21" i="114"/>
  <c r="AL163" i="115" s="1"/>
  <c r="AI24" i="114"/>
  <c r="AX161" i="115" s="1"/>
  <c r="AX168" i="115"/>
  <c r="AI11" i="114"/>
  <c r="K161" i="115" s="1"/>
  <c r="AJ12" i="114"/>
  <c r="K163" i="115" s="1"/>
  <c r="P51" i="114"/>
  <c r="AJ16" i="114"/>
  <c r="W163" i="115" s="1"/>
  <c r="AI19" i="114"/>
  <c r="AI161" i="115" s="1"/>
  <c r="AJ20" i="114"/>
  <c r="AI163" i="115" s="1"/>
  <c r="AI23" i="114"/>
  <c r="AU161" i="115" s="1"/>
  <c r="AU168" i="115"/>
  <c r="AJ24" i="114"/>
  <c r="AU163" i="115" s="1"/>
  <c r="AU170" i="115"/>
  <c r="AI18" i="114"/>
  <c r="AF161" i="115" s="1"/>
  <c r="AI22" i="114"/>
  <c r="AR161" i="115" s="1"/>
  <c r="AJ23" i="114"/>
  <c r="AR163" i="115" s="1"/>
  <c r="AX91" i="115"/>
  <c r="AJ11" i="114"/>
  <c r="H163" i="115" s="1"/>
  <c r="P50" i="114"/>
  <c r="AJ15" i="114"/>
  <c r="T163" i="115" s="1"/>
  <c r="AJ19" i="114"/>
  <c r="AF163" i="115" s="1"/>
  <c r="P49" i="114"/>
  <c r="AJ14" i="114"/>
  <c r="Q163" i="115" s="1"/>
  <c r="P53" i="114"/>
  <c r="AJ18" i="114"/>
  <c r="AC163" i="115" s="1"/>
  <c r="P57" i="114"/>
  <c r="AJ22" i="114"/>
  <c r="AO163" i="115" s="1"/>
  <c r="P54" i="114"/>
  <c r="P60" i="114"/>
  <c r="I40" i="114"/>
  <c r="AC8" i="93" s="1"/>
  <c r="J31" i="114"/>
  <c r="P47" i="114"/>
  <c r="P58" i="114"/>
  <c r="P55" i="114"/>
  <c r="P59" i="114"/>
  <c r="AI16" i="114"/>
  <c r="Z161" i="115" s="1"/>
  <c r="AI17" i="114"/>
  <c r="AC161" i="115" s="1"/>
  <c r="AI12" i="114"/>
  <c r="N161" i="115" s="1"/>
  <c r="AI13" i="114"/>
  <c r="Q161" i="115" s="1"/>
  <c r="AI20" i="114"/>
  <c r="AL161" i="115" s="1"/>
  <c r="AI14" i="114"/>
  <c r="T161" i="115" s="1"/>
  <c r="AI15" i="114"/>
  <c r="W161" i="115" s="1"/>
  <c r="AI10" i="114"/>
  <c r="H161" i="115" s="1"/>
  <c r="AI21" i="114"/>
  <c r="AO161" i="115" s="1"/>
  <c r="BG69" i="93" l="1"/>
  <c r="BG72" i="93" s="1"/>
  <c r="BG74" i="93" s="1"/>
  <c r="AZ67" i="93"/>
  <c r="AC96" i="115" s="1"/>
  <c r="BB69" i="93"/>
  <c r="BB72" i="93" s="1"/>
  <c r="BB74" i="93" s="1"/>
  <c r="AW69" i="93"/>
  <c r="AW72" i="93" s="1"/>
  <c r="AW74" i="93" s="1"/>
  <c r="BE67" i="93"/>
  <c r="AR96" i="115" s="1"/>
  <c r="AV69" i="93"/>
  <c r="AV72" i="93" s="1"/>
  <c r="AV74" i="93" s="1"/>
  <c r="BA69" i="93"/>
  <c r="BA72" i="93" s="1"/>
  <c r="BA74" i="93" s="1"/>
  <c r="BC67" i="93"/>
  <c r="AL96" i="115" s="1"/>
  <c r="AX67" i="93"/>
  <c r="W96" i="115" s="1"/>
  <c r="BD69" i="93"/>
  <c r="BD72" i="93" s="1"/>
  <c r="BD74" i="93" s="1"/>
  <c r="AY69" i="93"/>
  <c r="AY72" i="93" s="1"/>
  <c r="AY74" i="93" s="1"/>
  <c r="AU69" i="93"/>
  <c r="AU72" i="93" s="1"/>
  <c r="AU74" i="93" s="1"/>
  <c r="Q96" i="115"/>
  <c r="AO96" i="115"/>
  <c r="K94" i="115"/>
  <c r="Z96" i="115"/>
  <c r="AU96" i="115"/>
  <c r="N96" i="115"/>
  <c r="AX96" i="115"/>
  <c r="K96" i="115"/>
  <c r="AI96" i="115"/>
  <c r="T96" i="115"/>
  <c r="AF96" i="115"/>
  <c r="H96" i="115"/>
  <c r="AU94" i="115"/>
  <c r="W94" i="115"/>
  <c r="AI94" i="115"/>
  <c r="AO94" i="115"/>
  <c r="T94" i="115"/>
  <c r="AC94" i="115"/>
  <c r="AF94" i="115"/>
  <c r="H94" i="115"/>
  <c r="AX94" i="115"/>
  <c r="AL94" i="115"/>
  <c r="Q94" i="115"/>
  <c r="N94" i="115"/>
  <c r="P39" i="114"/>
  <c r="AU88" i="115"/>
  <c r="AO88" i="115"/>
  <c r="AI88" i="115"/>
  <c r="AC88" i="115"/>
  <c r="AR94" i="115"/>
  <c r="AX88" i="115"/>
  <c r="AR88" i="115"/>
  <c r="AL88" i="115"/>
  <c r="AF88" i="115"/>
  <c r="Z88" i="115"/>
  <c r="T88" i="115"/>
  <c r="N88" i="115"/>
  <c r="H88" i="115"/>
  <c r="AU91" i="115"/>
  <c r="AO91" i="115"/>
  <c r="AI91" i="115"/>
  <c r="AR91" i="115"/>
  <c r="AL91" i="115"/>
  <c r="AF91" i="115"/>
  <c r="Z91" i="115"/>
  <c r="T91" i="115"/>
  <c r="N91" i="115"/>
  <c r="H91" i="115"/>
  <c r="P40" i="114"/>
  <c r="I47" i="115"/>
  <c r="Z94" i="115"/>
  <c r="P61" i="114"/>
  <c r="P43" i="114" s="1"/>
  <c r="AU8" i="93" l="1"/>
  <c r="AX101" i="115"/>
  <c r="AC98" i="115"/>
  <c r="D14" i="121"/>
  <c r="AN4" i="121"/>
  <c r="N98" i="115"/>
  <c r="Z98" i="115"/>
  <c r="Q98" i="115"/>
  <c r="K98" i="115"/>
  <c r="AL98" i="115"/>
  <c r="H98" i="115"/>
  <c r="AF98" i="115"/>
  <c r="AO98" i="115"/>
  <c r="W98" i="115"/>
  <c r="AU101" i="115"/>
  <c r="AJ53" i="115"/>
  <c r="AR98" i="115"/>
  <c r="T98" i="115"/>
  <c r="AI98" i="115"/>
  <c r="AR101" i="115"/>
  <c r="AN4" i="122"/>
  <c r="AI101" i="115"/>
  <c r="AU98" i="115"/>
  <c r="AF101" i="115"/>
  <c r="K101" i="115"/>
  <c r="T101" i="115"/>
  <c r="H101" i="115"/>
  <c r="AX98" i="115"/>
  <c r="N101" i="115"/>
  <c r="W101" i="115"/>
  <c r="AI104" i="115"/>
  <c r="Z101" i="115"/>
  <c r="AU104" i="115"/>
  <c r="Q101" i="115"/>
  <c r="AX104" i="115"/>
  <c r="AO101" i="115"/>
  <c r="AC101" i="115"/>
  <c r="AL101" i="115"/>
  <c r="AR104" i="115"/>
  <c r="E52" i="114"/>
  <c r="J4" i="114" s="1"/>
  <c r="D52" i="114"/>
  <c r="J3" i="114" s="1"/>
  <c r="AU9" i="114"/>
  <c r="BS8" i="114" s="1"/>
  <c r="Q104" i="115" l="1"/>
  <c r="AF104" i="115"/>
  <c r="W104" i="115"/>
  <c r="K104" i="115"/>
  <c r="T104" i="115"/>
  <c r="N104" i="115"/>
  <c r="Z104" i="115"/>
  <c r="AC104" i="115"/>
  <c r="AO104" i="115"/>
  <c r="AL104" i="115"/>
  <c r="J5" i="114"/>
  <c r="AT9" i="114"/>
  <c r="BN8" i="114" s="1"/>
  <c r="D14" i="122" l="1"/>
  <c r="H104" i="115"/>
  <c r="AT4" i="114" l="1"/>
  <c r="Q44" i="118" l="1"/>
  <c r="P44" i="118"/>
  <c r="B172" i="116" l="1"/>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B77" i="116"/>
  <c r="B76" i="116"/>
  <c r="B75" i="116"/>
  <c r="B74" i="116"/>
  <c r="B73" i="116"/>
  <c r="B72" i="116"/>
  <c r="B71" i="116"/>
  <c r="B70" i="116"/>
  <c r="B69" i="116"/>
  <c r="B68" i="116"/>
  <c r="B67" i="116"/>
  <c r="B66" i="116"/>
  <c r="B65" i="116"/>
  <c r="B64" i="116"/>
  <c r="B63" i="116"/>
  <c r="B62" i="116"/>
  <c r="B61" i="116"/>
  <c r="B60" i="116"/>
  <c r="B59" i="116"/>
  <c r="B58" i="116"/>
  <c r="B57" i="116"/>
  <c r="B56" i="116"/>
  <c r="B55" i="116"/>
  <c r="B54" i="116"/>
  <c r="B53" i="116"/>
  <c r="B52" i="116"/>
  <c r="B51" i="116"/>
  <c r="B50" i="116"/>
  <c r="B49" i="116"/>
  <c r="B48" i="116"/>
  <c r="B47" i="116"/>
  <c r="B46" i="116"/>
  <c r="B45" i="116"/>
  <c r="B44" i="116"/>
  <c r="B43" i="116"/>
  <c r="B42" i="116"/>
  <c r="B41" i="116"/>
  <c r="B40" i="116"/>
  <c r="B39" i="116"/>
  <c r="B38" i="116"/>
  <c r="B37" i="116"/>
  <c r="B36" i="116"/>
  <c r="B35" i="116"/>
  <c r="B34" i="116"/>
  <c r="B33" i="116"/>
  <c r="B32" i="116"/>
  <c r="B31" i="116"/>
  <c r="B30" i="116"/>
  <c r="B29" i="116"/>
  <c r="B28" i="116"/>
  <c r="B27" i="116"/>
  <c r="B26" i="116"/>
  <c r="B25" i="116"/>
  <c r="B24" i="116"/>
  <c r="B23" i="116"/>
  <c r="B22" i="116"/>
  <c r="B21" i="116"/>
  <c r="B20" i="116"/>
  <c r="B19" i="116"/>
  <c r="B18" i="116"/>
  <c r="B17" i="116"/>
  <c r="B16" i="116"/>
  <c r="B15" i="116"/>
  <c r="B14" i="116"/>
  <c r="B13" i="116"/>
  <c r="R2" i="54" l="1"/>
  <c r="R1" i="54"/>
  <c r="CZ2" i="54"/>
  <c r="CZ1" i="54"/>
  <c r="DR37" i="54"/>
  <c r="DQ37" i="54"/>
  <c r="DP37" i="54"/>
  <c r="DK37" i="54"/>
  <c r="DJ37" i="54"/>
  <c r="DI37" i="54"/>
  <c r="DH37" i="54"/>
  <c r="DO37" i="54" s="1"/>
  <c r="DG37" i="54"/>
  <c r="DN37" i="54" s="1"/>
  <c r="DR36" i="54"/>
  <c r="DQ36" i="54"/>
  <c r="DP36" i="54"/>
  <c r="DK36" i="54"/>
  <c r="DJ36" i="54"/>
  <c r="DI36" i="54"/>
  <c r="DH36" i="54"/>
  <c r="DO36" i="54" s="1"/>
  <c r="DG36" i="54"/>
  <c r="DN36" i="54" s="1"/>
  <c r="DR35" i="54"/>
  <c r="DQ35" i="54"/>
  <c r="DP35" i="54"/>
  <c r="DK35" i="54"/>
  <c r="DJ35" i="54"/>
  <c r="DI35" i="54"/>
  <c r="DH35" i="54"/>
  <c r="DO35" i="54" s="1"/>
  <c r="DG35" i="54"/>
  <c r="DN35" i="54" s="1"/>
  <c r="DR34" i="54"/>
  <c r="DQ34" i="54"/>
  <c r="DP34" i="54"/>
  <c r="DK34" i="54"/>
  <c r="DJ34" i="54"/>
  <c r="DI34" i="54"/>
  <c r="DH34" i="54"/>
  <c r="DO34" i="54" s="1"/>
  <c r="DG34" i="54"/>
  <c r="DN34" i="54" s="1"/>
  <c r="DR33" i="54"/>
  <c r="DQ33" i="54"/>
  <c r="DP33" i="54"/>
  <c r="DK33" i="54"/>
  <c r="DJ33" i="54"/>
  <c r="DI33" i="54"/>
  <c r="DH33" i="54"/>
  <c r="DO33" i="54" s="1"/>
  <c r="DG33" i="54"/>
  <c r="DN33" i="54" s="1"/>
  <c r="DR32" i="54"/>
  <c r="DQ32" i="54"/>
  <c r="DP32" i="54"/>
  <c r="DK32" i="54"/>
  <c r="DJ32" i="54"/>
  <c r="DI32" i="54"/>
  <c r="DH32" i="54"/>
  <c r="DO32" i="54" s="1"/>
  <c r="DG32" i="54"/>
  <c r="DN32" i="54" s="1"/>
  <c r="DR31" i="54"/>
  <c r="DQ31" i="54"/>
  <c r="DP31" i="54"/>
  <c r="DK31" i="54"/>
  <c r="DJ31" i="54"/>
  <c r="DI31" i="54"/>
  <c r="DH31" i="54"/>
  <c r="DO31" i="54" s="1"/>
  <c r="DG31" i="54"/>
  <c r="DN31" i="54" s="1"/>
  <c r="DR30" i="54"/>
  <c r="DQ30" i="54"/>
  <c r="DP30" i="54"/>
  <c r="DK30" i="54"/>
  <c r="DJ30" i="54"/>
  <c r="DI30" i="54"/>
  <c r="DH30" i="54"/>
  <c r="DO30" i="54" s="1"/>
  <c r="DG30" i="54"/>
  <c r="DN30" i="54" s="1"/>
  <c r="DR29" i="54"/>
  <c r="DQ29" i="54"/>
  <c r="DP29" i="54"/>
  <c r="DK29" i="54"/>
  <c r="DJ29" i="54"/>
  <c r="DI29" i="54"/>
  <c r="DH29" i="54"/>
  <c r="DO29" i="54" s="1"/>
  <c r="DG29" i="54"/>
  <c r="DN29" i="54" s="1"/>
  <c r="DR28" i="54"/>
  <c r="DQ28" i="54"/>
  <c r="DP28" i="54"/>
  <c r="DK28" i="54"/>
  <c r="DJ28" i="54"/>
  <c r="DI28" i="54"/>
  <c r="DH28" i="54"/>
  <c r="DO28" i="54" s="1"/>
  <c r="DG28" i="54"/>
  <c r="DN28" i="54" s="1"/>
  <c r="DR27" i="54"/>
  <c r="DQ27" i="54"/>
  <c r="DP27" i="54"/>
  <c r="DK27" i="54"/>
  <c r="DJ27" i="54"/>
  <c r="DI27" i="54"/>
  <c r="DH27" i="54"/>
  <c r="DO27" i="54" s="1"/>
  <c r="DG27" i="54"/>
  <c r="DN27" i="54" s="1"/>
  <c r="DR26" i="54"/>
  <c r="DQ26" i="54"/>
  <c r="DP26" i="54"/>
  <c r="DK26" i="54"/>
  <c r="DJ26" i="54"/>
  <c r="DI26" i="54"/>
  <c r="DH26" i="54"/>
  <c r="DO26" i="54" s="1"/>
  <c r="DG26" i="54"/>
  <c r="DN26" i="54" s="1"/>
  <c r="DR25" i="54"/>
  <c r="DQ25" i="54"/>
  <c r="DP25" i="54"/>
  <c r="DK25" i="54"/>
  <c r="DJ25" i="54"/>
  <c r="DI25" i="54"/>
  <c r="DH25" i="54"/>
  <c r="DO25" i="54" s="1"/>
  <c r="DG25" i="54"/>
  <c r="DN25" i="54" s="1"/>
  <c r="DR24" i="54"/>
  <c r="DQ24" i="54"/>
  <c r="DP24" i="54"/>
  <c r="DK24" i="54"/>
  <c r="DJ24" i="54"/>
  <c r="DI24" i="54"/>
  <c r="DH24" i="54"/>
  <c r="DO24" i="54" s="1"/>
  <c r="DG24" i="54"/>
  <c r="DN24" i="54" s="1"/>
  <c r="DR23" i="54"/>
  <c r="DQ23" i="54"/>
  <c r="DP23" i="54"/>
  <c r="DK23" i="54"/>
  <c r="DJ23" i="54"/>
  <c r="DI23" i="54"/>
  <c r="DH23" i="54"/>
  <c r="DO23" i="54" s="1"/>
  <c r="DG23" i="54"/>
  <c r="DN23" i="54" s="1"/>
  <c r="DR22" i="54"/>
  <c r="DQ22" i="54"/>
  <c r="DP22" i="54"/>
  <c r="DK22" i="54"/>
  <c r="DJ22" i="54"/>
  <c r="DI22" i="54"/>
  <c r="DH22" i="54"/>
  <c r="DO22" i="54" s="1"/>
  <c r="DG22" i="54"/>
  <c r="DN22" i="54" s="1"/>
  <c r="DR21" i="54"/>
  <c r="DQ21" i="54"/>
  <c r="DP21" i="54"/>
  <c r="DK21" i="54"/>
  <c r="DJ21" i="54"/>
  <c r="DI21" i="54"/>
  <c r="DH21" i="54"/>
  <c r="DO21" i="54" s="1"/>
  <c r="DG21" i="54"/>
  <c r="DN21" i="54" s="1"/>
  <c r="DR20" i="54"/>
  <c r="DQ20" i="54"/>
  <c r="DP20" i="54"/>
  <c r="DK20" i="54"/>
  <c r="DJ20" i="54"/>
  <c r="DI20" i="54"/>
  <c r="DH20" i="54"/>
  <c r="DO20" i="54" s="1"/>
  <c r="DG20" i="54"/>
  <c r="DN20" i="54" s="1"/>
  <c r="DR19" i="54"/>
  <c r="DQ19" i="54"/>
  <c r="DP19" i="54"/>
  <c r="DK19" i="54"/>
  <c r="DJ19" i="54"/>
  <c r="DI19" i="54"/>
  <c r="DH19" i="54"/>
  <c r="DO19" i="54" s="1"/>
  <c r="DG19" i="54"/>
  <c r="DN19" i="54" s="1"/>
  <c r="DR18" i="54"/>
  <c r="DQ18" i="54"/>
  <c r="DP18" i="54"/>
  <c r="DK18" i="54"/>
  <c r="DJ18" i="54"/>
  <c r="DI18" i="54"/>
  <c r="DH18" i="54"/>
  <c r="DO18" i="54" s="1"/>
  <c r="DG18" i="54"/>
  <c r="DN18" i="54" s="1"/>
  <c r="DR17" i="54"/>
  <c r="DQ17" i="54"/>
  <c r="DP17" i="54"/>
  <c r="DK17" i="54"/>
  <c r="DJ17" i="54"/>
  <c r="DI17" i="54"/>
  <c r="DH17" i="54"/>
  <c r="DO17" i="54" s="1"/>
  <c r="DG17" i="54"/>
  <c r="DN17" i="54" s="1"/>
  <c r="DR16" i="54"/>
  <c r="DQ16" i="54"/>
  <c r="DP16" i="54"/>
  <c r="DK16" i="54"/>
  <c r="DJ16" i="54"/>
  <c r="DI16" i="54"/>
  <c r="DH16" i="54"/>
  <c r="DO16" i="54" s="1"/>
  <c r="DG16" i="54"/>
  <c r="DN16" i="54" s="1"/>
  <c r="DR15" i="54"/>
  <c r="DQ15" i="54"/>
  <c r="DP15" i="54"/>
  <c r="DK15" i="54"/>
  <c r="DJ15" i="54"/>
  <c r="DI15" i="54"/>
  <c r="DH15" i="54"/>
  <c r="DO15" i="54" s="1"/>
  <c r="DG15" i="54"/>
  <c r="DN15" i="54" s="1"/>
  <c r="DR14" i="54"/>
  <c r="DQ14" i="54"/>
  <c r="DP14" i="54"/>
  <c r="DK14" i="54"/>
  <c r="DJ14" i="54"/>
  <c r="DI14" i="54"/>
  <c r="DH14" i="54"/>
  <c r="DO14" i="54" s="1"/>
  <c r="DG14" i="54"/>
  <c r="DN14" i="54" s="1"/>
  <c r="DR13" i="54"/>
  <c r="DQ13" i="54"/>
  <c r="DP13" i="54"/>
  <c r="DK13" i="54"/>
  <c r="DJ13" i="54"/>
  <c r="DI13" i="54"/>
  <c r="DH13" i="54"/>
  <c r="DO13" i="54" s="1"/>
  <c r="DG13" i="54"/>
  <c r="DN13" i="54" s="1"/>
  <c r="DR12" i="54"/>
  <c r="DQ12" i="54"/>
  <c r="DP12" i="54"/>
  <c r="DK12" i="54"/>
  <c r="DJ12" i="54"/>
  <c r="DI12" i="54"/>
  <c r="DH12" i="54"/>
  <c r="DO12" i="54" s="1"/>
  <c r="DG12" i="54"/>
  <c r="DN12" i="54" s="1"/>
  <c r="DR11" i="54"/>
  <c r="DQ11" i="54"/>
  <c r="DP11" i="54"/>
  <c r="DK11" i="54"/>
  <c r="DJ11" i="54"/>
  <c r="DI11" i="54"/>
  <c r="DH11" i="54"/>
  <c r="DO11" i="54" s="1"/>
  <c r="DG11" i="54"/>
  <c r="DN11" i="54" s="1"/>
  <c r="DR10" i="54"/>
  <c r="DQ10" i="54"/>
  <c r="DP10" i="54"/>
  <c r="DK10" i="54"/>
  <c r="DJ10" i="54"/>
  <c r="DI10" i="54"/>
  <c r="DH10" i="54"/>
  <c r="DO10" i="54" s="1"/>
  <c r="DG10" i="54"/>
  <c r="DN10" i="54" s="1"/>
  <c r="DR9" i="54"/>
  <c r="DQ9" i="54"/>
  <c r="DP9" i="54"/>
  <c r="DK9" i="54"/>
  <c r="DJ9" i="54"/>
  <c r="DI9" i="54"/>
  <c r="DH9" i="54"/>
  <c r="DO9" i="54" s="1"/>
  <c r="DG9" i="54"/>
  <c r="DN9" i="54" s="1"/>
  <c r="DR8" i="54"/>
  <c r="DQ8" i="54"/>
  <c r="DP8" i="54"/>
  <c r="DK8" i="54"/>
  <c r="DJ8" i="54"/>
  <c r="DI8" i="54"/>
  <c r="DH8" i="54"/>
  <c r="DO8" i="54" s="1"/>
  <c r="DG8" i="54"/>
  <c r="DN8" i="54" s="1"/>
  <c r="DR7" i="54"/>
  <c r="DQ7" i="54"/>
  <c r="DP7" i="54"/>
  <c r="DK7" i="54"/>
  <c r="DJ7" i="54"/>
  <c r="DI7" i="54"/>
  <c r="DH7" i="54"/>
  <c r="DO7" i="54" s="1"/>
  <c r="DG7" i="54"/>
  <c r="DN7" i="54" s="1"/>
  <c r="DR6" i="54"/>
  <c r="DQ6" i="54"/>
  <c r="DP6" i="54"/>
  <c r="DK6" i="54"/>
  <c r="DJ6" i="54"/>
  <c r="DI6" i="54"/>
  <c r="DH6" i="54"/>
  <c r="DO6" i="54" s="1"/>
  <c r="DG6" i="54"/>
  <c r="DN6" i="54" s="1"/>
  <c r="DR5" i="54"/>
  <c r="DQ5" i="54"/>
  <c r="DP5" i="54"/>
  <c r="DK5" i="54"/>
  <c r="DJ5" i="54"/>
  <c r="DI5" i="54"/>
  <c r="DH5" i="54"/>
  <c r="DO5" i="54" s="1"/>
  <c r="DG5" i="54"/>
  <c r="DN5" i="54" s="1"/>
  <c r="DR4" i="54"/>
  <c r="DQ4" i="54"/>
  <c r="DP4" i="54"/>
  <c r="DK4" i="54"/>
  <c r="DJ4" i="54"/>
  <c r="DI4" i="54"/>
  <c r="DH4" i="54"/>
  <c r="DO4" i="54" s="1"/>
  <c r="DG4" i="54"/>
  <c r="DN4" i="54" s="1"/>
  <c r="DR3" i="54"/>
  <c r="DQ3" i="54"/>
  <c r="DP3" i="54"/>
  <c r="DK3" i="54"/>
  <c r="DJ3" i="54"/>
  <c r="DI3" i="54"/>
  <c r="DH3" i="54"/>
  <c r="DO3" i="54" s="1"/>
  <c r="DG3" i="54"/>
  <c r="DN3" i="54" s="1"/>
  <c r="X3" i="54" l="1"/>
  <c r="X4" i="54" s="1"/>
  <c r="X5" i="54" s="1"/>
  <c r="X6" i="54" s="1"/>
  <c r="X7" i="54" s="1"/>
  <c r="X8" i="54" s="1"/>
  <c r="X9" i="54" s="1"/>
  <c r="X10" i="54" s="1"/>
  <c r="X11" i="54" s="1"/>
  <c r="X12" i="54" s="1"/>
  <c r="X13" i="54" s="1"/>
  <c r="X14" i="54" s="1"/>
  <c r="X15" i="54" s="1"/>
  <c r="X16" i="54" s="1"/>
  <c r="X17" i="54" s="1"/>
  <c r="X18" i="54" s="1"/>
  <c r="X19" i="54" s="1"/>
  <c r="X20" i="54" s="1"/>
  <c r="X21" i="54" s="1"/>
  <c r="X22" i="54" s="1"/>
  <c r="X23" i="54" s="1"/>
  <c r="X24" i="54" s="1"/>
  <c r="X25" i="54" s="1"/>
  <c r="X26" i="54" s="1"/>
  <c r="X27" i="54" s="1"/>
  <c r="X28" i="54" s="1"/>
  <c r="X29" i="54" s="1"/>
  <c r="X30" i="54" s="1"/>
  <c r="X31" i="54" s="1"/>
  <c r="X32" i="54" s="1"/>
  <c r="X33" i="54" s="1"/>
  <c r="X34" i="54" s="1"/>
  <c r="X35" i="54" s="1"/>
  <c r="X36" i="54" s="1"/>
  <c r="X37" i="54" s="1"/>
  <c r="X38" i="54" s="1"/>
  <c r="X39" i="54" s="1"/>
  <c r="X40" i="54" s="1"/>
  <c r="X41" i="54" s="1"/>
  <c r="X42" i="54" s="1"/>
  <c r="X43" i="54" s="1"/>
  <c r="X44" i="54" s="1"/>
  <c r="X45" i="54" s="1"/>
  <c r="X46" i="54" s="1"/>
  <c r="X47" i="54" s="1"/>
  <c r="X48" i="54" s="1"/>
  <c r="X49" i="54" s="1"/>
  <c r="X50" i="54" s="1"/>
  <c r="X51" i="54" s="1"/>
  <c r="X52" i="54" s="1"/>
  <c r="X53" i="54" s="1"/>
  <c r="X54" i="54" s="1"/>
  <c r="X55" i="54" s="1"/>
  <c r="X56" i="54" s="1"/>
  <c r="X57" i="54" s="1"/>
  <c r="X58" i="54" s="1"/>
  <c r="X59" i="54" s="1"/>
  <c r="X60" i="54" s="1"/>
  <c r="X61" i="54" s="1"/>
  <c r="X62" i="54" s="1"/>
  <c r="X63" i="54" s="1"/>
  <c r="X64" i="54" s="1"/>
  <c r="X65" i="54" s="1"/>
  <c r="X66" i="54" s="1"/>
  <c r="X67" i="54" s="1"/>
  <c r="X68" i="54" s="1"/>
  <c r="X69" i="54" s="1"/>
  <c r="X70" i="54" s="1"/>
  <c r="X71" i="54" s="1"/>
  <c r="X72" i="54" s="1"/>
  <c r="X73" i="54" s="1"/>
  <c r="X74" i="54" s="1"/>
  <c r="X75" i="54" s="1"/>
  <c r="X76" i="54" s="1"/>
  <c r="X77" i="54" s="1"/>
  <c r="X78" i="54" s="1"/>
  <c r="BU4" i="122" l="1"/>
  <c r="D12" i="122"/>
  <c r="E18" i="118"/>
  <c r="D18" i="51" s="1"/>
  <c r="L50" i="51" l="1"/>
  <c r="G30" i="51" l="1"/>
  <c r="G32" i="51"/>
  <c r="G33" i="51"/>
  <c r="G34" i="51"/>
  <c r="D29" i="51"/>
  <c r="D30" i="51"/>
  <c r="D31" i="51"/>
  <c r="D32" i="51"/>
  <c r="D33" i="51"/>
  <c r="D34" i="51"/>
  <c r="D35" i="51"/>
  <c r="D36" i="51" l="1"/>
  <c r="E25" i="118"/>
  <c r="D25" i="51" s="1"/>
  <c r="E164" i="118" l="1"/>
  <c r="E163" i="118"/>
  <c r="E162" i="118"/>
  <c r="E160" i="118"/>
  <c r="E157" i="118"/>
  <c r="E156" i="118"/>
  <c r="G152" i="118"/>
  <c r="G151" i="118"/>
  <c r="G150" i="118"/>
  <c r="F149" i="118"/>
  <c r="E149" i="118"/>
  <c r="E146" i="118"/>
  <c r="E145" i="118"/>
  <c r="F140" i="118"/>
  <c r="E140" i="118"/>
  <c r="F136" i="118"/>
  <c r="E136" i="118"/>
  <c r="F135" i="118"/>
  <c r="E135" i="118"/>
  <c r="E130" i="118"/>
  <c r="E129" i="118"/>
  <c r="G128" i="118"/>
  <c r="E128" i="118"/>
  <c r="E127" i="118"/>
  <c r="E126" i="118"/>
  <c r="P25" i="118"/>
  <c r="E23" i="118"/>
  <c r="D23" i="51" s="1"/>
  <c r="E10" i="118"/>
  <c r="P160" i="118" l="1"/>
  <c r="D160" i="51"/>
  <c r="P146" i="118"/>
  <c r="D146" i="51"/>
  <c r="R151" i="118"/>
  <c r="F151" i="51"/>
  <c r="R152" i="118"/>
  <c r="F152" i="51"/>
  <c r="P162" i="118"/>
  <c r="D162" i="51"/>
  <c r="P163" i="118"/>
  <c r="D163" i="51"/>
  <c r="P157" i="118"/>
  <c r="D157" i="51"/>
  <c r="P164" i="118"/>
  <c r="D164" i="51"/>
  <c r="P10" i="118"/>
  <c r="D10" i="51"/>
  <c r="F5" i="85" s="1"/>
  <c r="P127" i="118"/>
  <c r="D127" i="51"/>
  <c r="Q136" i="118"/>
  <c r="E136" i="51"/>
  <c r="P149" i="118"/>
  <c r="D149" i="51"/>
  <c r="R128" i="118"/>
  <c r="F128" i="51"/>
  <c r="Q149" i="118"/>
  <c r="E149" i="51"/>
  <c r="P128" i="118"/>
  <c r="D128" i="51"/>
  <c r="P135" i="118"/>
  <c r="D135" i="51"/>
  <c r="P140" i="118"/>
  <c r="D140" i="51"/>
  <c r="Q135" i="118"/>
  <c r="E135" i="51"/>
  <c r="Q140" i="118"/>
  <c r="E140" i="51"/>
  <c r="P126" i="118"/>
  <c r="D126" i="51"/>
  <c r="P129" i="118"/>
  <c r="D129" i="51"/>
  <c r="P136" i="118"/>
  <c r="D136" i="51"/>
  <c r="P156" i="118"/>
  <c r="D156" i="51"/>
  <c r="P145" i="118"/>
  <c r="D145" i="51"/>
  <c r="R150" i="118"/>
  <c r="F150" i="51"/>
  <c r="P18" i="118"/>
  <c r="P23" i="118"/>
  <c r="E35" i="114" l="1"/>
  <c r="E34" i="114"/>
  <c r="L148" i="51"/>
  <c r="M148" i="51"/>
  <c r="F60" i="118"/>
  <c r="P4" i="116"/>
  <c r="O4" i="116"/>
  <c r="P3" i="116"/>
  <c r="O3" i="116"/>
  <c r="F44" i="118"/>
  <c r="E47" i="118"/>
  <c r="Q8" i="114" l="1"/>
  <c r="F34" i="114"/>
  <c r="X16" i="93" s="1"/>
  <c r="F35" i="114"/>
  <c r="X21" i="93" s="1"/>
  <c r="Q9" i="114"/>
  <c r="E44" i="118"/>
  <c r="F40" i="118"/>
  <c r="F61" i="118"/>
  <c r="E61" i="51" s="1"/>
  <c r="E40" i="118"/>
  <c r="Q56" i="118"/>
  <c r="F56" i="118"/>
  <c r="E56" i="51" s="1"/>
  <c r="E60" i="118"/>
  <c r="Q42" i="118"/>
  <c r="R9" i="114" l="1"/>
  <c r="AJ17" i="93" s="1"/>
  <c r="R8" i="114"/>
  <c r="AJ16" i="93" s="1"/>
  <c r="T34" i="115"/>
  <c r="L34" i="115"/>
  <c r="Q40" i="118"/>
  <c r="Q57" i="118"/>
  <c r="P40" i="118"/>
  <c r="E57" i="118"/>
  <c r="D57" i="51" s="1"/>
  <c r="E58" i="118"/>
  <c r="D58" i="51" s="1"/>
  <c r="F63" i="118"/>
  <c r="E63" i="51" s="1"/>
  <c r="Q58" i="118"/>
  <c r="Q63" i="118"/>
  <c r="Q61" i="118"/>
  <c r="P56" i="118"/>
  <c r="Q41" i="118"/>
  <c r="F41" i="118"/>
  <c r="P41" i="118"/>
  <c r="E41" i="118"/>
  <c r="F54" i="118"/>
  <c r="E54" i="51" s="1"/>
  <c r="F57" i="118"/>
  <c r="E57" i="51" s="1"/>
  <c r="P58" i="118"/>
  <c r="Q54" i="118"/>
  <c r="F58" i="118"/>
  <c r="E58" i="51" s="1"/>
  <c r="E63" i="118"/>
  <c r="D63" i="51" s="1"/>
  <c r="E56" i="118"/>
  <c r="D56" i="51" s="1"/>
  <c r="P57" i="118"/>
  <c r="P63" i="118"/>
  <c r="Q62" i="118"/>
  <c r="F62" i="118"/>
  <c r="E62" i="51" s="1"/>
  <c r="E61" i="118"/>
  <c r="D61" i="51" s="1"/>
  <c r="P61" i="118"/>
  <c r="E62" i="118"/>
  <c r="D62" i="51" s="1"/>
  <c r="P62" i="118"/>
  <c r="E54" i="118"/>
  <c r="D54" i="51" s="1"/>
  <c r="P54" i="118"/>
  <c r="P42" i="118"/>
  <c r="P130" i="118"/>
  <c r="P6" i="85" l="1"/>
  <c r="P5" i="85"/>
  <c r="J25" i="85"/>
  <c r="P38" i="93" s="1"/>
  <c r="F6" i="85"/>
  <c r="G6" i="85" s="1"/>
  <c r="G5" i="85"/>
  <c r="P60" i="118"/>
  <c r="Q60" i="118"/>
  <c r="BB30" i="121" l="1"/>
  <c r="BB41" i="121" s="1"/>
  <c r="AO266" i="115"/>
  <c r="J26" i="85"/>
  <c r="P41" i="93" s="1"/>
  <c r="T35" i="115"/>
  <c r="E14" i="118"/>
  <c r="F14" i="118"/>
  <c r="L35" i="115"/>
  <c r="BB30" i="122"/>
  <c r="BB41" i="122" s="1"/>
  <c r="F13" i="101"/>
  <c r="M17" i="101"/>
  <c r="F31" i="101"/>
  <c r="S5" i="85"/>
  <c r="Y86" i="85"/>
  <c r="C66" i="115" s="1"/>
  <c r="E11" i="85"/>
  <c r="F11" i="85"/>
  <c r="BO30" i="121" l="1"/>
  <c r="BO41" i="121" s="1"/>
  <c r="AV266" i="115"/>
  <c r="N94" i="85"/>
  <c r="BO43" i="121"/>
  <c r="BO43" i="122"/>
  <c r="BB43" i="122"/>
  <c r="BB43" i="121"/>
  <c r="Q17" i="101"/>
  <c r="Y87" i="85"/>
  <c r="C72" i="115" s="1"/>
  <c r="Q6" i="85"/>
  <c r="R6" i="85" s="1"/>
  <c r="F81" i="85" s="1"/>
  <c r="F84" i="85" s="1"/>
  <c r="F87" i="85" s="1"/>
  <c r="Q5" i="85"/>
  <c r="R5" i="85" s="1"/>
  <c r="F80" i="85" s="1"/>
  <c r="F83" i="85" s="1"/>
  <c r="F86" i="85" s="1"/>
  <c r="G2" i="85"/>
  <c r="S6" i="85"/>
  <c r="F16" i="118" s="1"/>
  <c r="BO30" i="122"/>
  <c r="BO41" i="122" s="1"/>
  <c r="F33" i="101"/>
  <c r="F15" i="101"/>
  <c r="O281" i="115"/>
  <c r="N93" i="85"/>
  <c r="BF7" i="114"/>
  <c r="E42" i="118"/>
  <c r="G81" i="85" l="1"/>
  <c r="G84" i="85" s="1"/>
  <c r="G87" i="85" s="1"/>
  <c r="BG7" i="114"/>
  <c r="V281" i="115"/>
  <c r="P46" i="118"/>
  <c r="P47" i="118"/>
  <c r="E46" i="118"/>
  <c r="F42" i="118"/>
  <c r="E158" i="118" l="1"/>
  <c r="P158" i="118" s="1"/>
  <c r="E167" i="118"/>
  <c r="D167" i="51" s="1"/>
  <c r="E161" i="118"/>
  <c r="P161" i="118" s="1"/>
  <c r="E166" i="118"/>
  <c r="P166" i="118" s="1"/>
  <c r="E159" i="118"/>
  <c r="P159" i="118" s="1"/>
  <c r="E165" i="118"/>
  <c r="D165" i="51" s="1"/>
  <c r="D161" i="51" l="1"/>
  <c r="D158" i="51"/>
  <c r="D159" i="51"/>
  <c r="P165" i="118"/>
  <c r="D166" i="51"/>
  <c r="P167" i="118"/>
  <c r="J38" i="8" l="1"/>
  <c r="J39" i="8" l="1"/>
  <c r="K21" i="8" l="1"/>
  <c r="K51" i="51" l="1"/>
  <c r="K50" i="51"/>
  <c r="K39" i="8" l="1"/>
  <c r="B17" i="8" l="1"/>
  <c r="O5" i="110" l="1"/>
  <c r="M5" i="110"/>
  <c r="N5" i="110"/>
  <c r="L91" i="85" s="1"/>
  <c r="O4" i="110"/>
  <c r="L5" i="110"/>
  <c r="L4" i="110"/>
  <c r="M4" i="110"/>
  <c r="N4" i="110"/>
  <c r="L90" i="85" s="1"/>
  <c r="M90" i="85" l="1"/>
  <c r="M96" i="85" s="1"/>
  <c r="L96" i="85"/>
  <c r="S96" i="85" s="1"/>
  <c r="T96" i="85" s="1"/>
  <c r="N90" i="85"/>
  <c r="R39" i="101" s="1"/>
  <c r="L97" i="85"/>
  <c r="S97" i="85" s="1"/>
  <c r="T97" i="85" s="1"/>
  <c r="N91" i="85"/>
  <c r="R43" i="101" s="1"/>
  <c r="M91" i="85"/>
  <c r="M97" i="85" s="1"/>
  <c r="K91" i="51"/>
  <c r="K92" i="51"/>
  <c r="L91" i="51"/>
  <c r="L92" i="51"/>
  <c r="N96" i="85" l="1"/>
  <c r="N97" i="85"/>
  <c r="W96" i="85"/>
  <c r="X96" i="85" s="1"/>
  <c r="L51" i="51"/>
  <c r="F4" i="114" l="1"/>
  <c r="N26" i="101" s="1"/>
  <c r="F5" i="114" l="1"/>
  <c r="P26" i="101" s="1"/>
  <c r="M4" i="116" l="1"/>
  <c r="Q14" i="118"/>
  <c r="L3" i="116"/>
  <c r="D14" i="51"/>
  <c r="P14" i="118"/>
  <c r="K6" i="85" l="1"/>
  <c r="G33" i="85"/>
  <c r="G48" i="85" s="1"/>
  <c r="Q43" i="118" s="1"/>
  <c r="Q16" i="118"/>
  <c r="E16" i="51"/>
  <c r="E14" i="51"/>
  <c r="L4" i="116"/>
  <c r="K81" i="85"/>
  <c r="K87" i="85" s="1"/>
  <c r="BO34" i="121" s="1"/>
  <c r="K80" i="85"/>
  <c r="K86" i="85" s="1"/>
  <c r="BB34" i="121" s="1"/>
  <c r="BO34" i="122" l="1"/>
  <c r="BB34" i="122"/>
  <c r="I76" i="115"/>
  <c r="I70" i="115"/>
  <c r="V284" i="115"/>
  <c r="O284" i="115"/>
  <c r="F43" i="118"/>
  <c r="AL3" i="114"/>
  <c r="N3" i="116"/>
  <c r="E16" i="118" l="1"/>
  <c r="K5" i="85" s="1"/>
  <c r="G80" i="85"/>
  <c r="AL4" i="114"/>
  <c r="AU13" i="114" s="1"/>
  <c r="AT13" i="114"/>
  <c r="AK3" i="114"/>
  <c r="N4" i="116"/>
  <c r="S4" i="116" s="1"/>
  <c r="Q4" i="116" s="1"/>
  <c r="P81" i="85" s="1"/>
  <c r="P87" i="85" s="1"/>
  <c r="V283" i="115" s="1"/>
  <c r="Q59" i="118"/>
  <c r="F59" i="118"/>
  <c r="E59" i="51" s="1"/>
  <c r="E59" i="118"/>
  <c r="D59" i="51" s="1"/>
  <c r="P59" i="118"/>
  <c r="T6" i="85" l="1"/>
  <c r="AU10" i="114"/>
  <c r="AU11" i="114" s="1"/>
  <c r="BU8" i="114" s="1"/>
  <c r="BU9" i="114" s="1"/>
  <c r="BU10" i="114" s="1"/>
  <c r="BU11" i="114" s="1"/>
  <c r="BU12" i="114" s="1"/>
  <c r="BU13" i="114" s="1"/>
  <c r="BU14" i="114" s="1"/>
  <c r="BU15" i="114" s="1"/>
  <c r="BU16" i="114" s="1"/>
  <c r="BU17" i="114" s="1"/>
  <c r="BU18" i="114" s="1"/>
  <c r="BU19" i="114" s="1"/>
  <c r="BU20" i="114" s="1"/>
  <c r="BU21" i="114" s="1"/>
  <c r="BU22" i="114" s="1"/>
  <c r="BU23" i="114" s="1"/>
  <c r="BU24" i="114" s="1"/>
  <c r="BU25" i="114" s="1"/>
  <c r="S87" i="85"/>
  <c r="T87" i="85" s="1"/>
  <c r="G83" i="85"/>
  <c r="G86" i="85" s="1"/>
  <c r="M3" i="116"/>
  <c r="S3" i="116" s="1"/>
  <c r="Q3" i="116" s="1"/>
  <c r="P80" i="85" s="1"/>
  <c r="P86" i="85" s="1"/>
  <c r="O283" i="115" s="1"/>
  <c r="G32" i="85"/>
  <c r="D16" i="51"/>
  <c r="P16" i="118"/>
  <c r="W87" i="85"/>
  <c r="X87" i="85" s="1"/>
  <c r="I74" i="115" s="1"/>
  <c r="AK4" i="114"/>
  <c r="BG8" i="114" l="1"/>
  <c r="BT8" i="114" s="1"/>
  <c r="BV8" i="114" s="1"/>
  <c r="BS9" i="114" s="1"/>
  <c r="AT10" i="114"/>
  <c r="AT11" i="114" s="1"/>
  <c r="BP8" i="114" s="1"/>
  <c r="BP9" i="114" s="1"/>
  <c r="BP10" i="114" s="1"/>
  <c r="BP11" i="114" s="1"/>
  <c r="T5" i="85"/>
  <c r="G47" i="85"/>
  <c r="P43" i="118" s="1"/>
  <c r="E43" i="118"/>
  <c r="S86" i="85"/>
  <c r="T86" i="85" s="1"/>
  <c r="E55" i="118" s="1"/>
  <c r="W86" i="85"/>
  <c r="X86" i="85" s="1"/>
  <c r="P42" i="114" s="1"/>
  <c r="D20" i="121" s="1"/>
  <c r="BU26" i="114"/>
  <c r="Q55" i="118"/>
  <c r="F55" i="118"/>
  <c r="I68" i="115" l="1"/>
  <c r="D20" i="122"/>
  <c r="BG9" i="114"/>
  <c r="BT9" i="114" s="1"/>
  <c r="BV9" i="114" s="1"/>
  <c r="BS10" i="114" s="1"/>
  <c r="BF8" i="114"/>
  <c r="BF9" i="114" s="1"/>
  <c r="BO9" i="114" s="1"/>
  <c r="P55" i="118"/>
  <c r="S31" i="118" s="1"/>
  <c r="H31" i="118"/>
  <c r="G31" i="51" s="1"/>
  <c r="BU27" i="114"/>
  <c r="BP12" i="114"/>
  <c r="BG10" i="114" l="1"/>
  <c r="BT10" i="114" s="1"/>
  <c r="BV10" i="114" s="1"/>
  <c r="BS11" i="114" s="1"/>
  <c r="BF10" i="114"/>
  <c r="BO10" i="114" s="1"/>
  <c r="BO8" i="114"/>
  <c r="BQ8" i="114" s="1"/>
  <c r="BN9" i="114" s="1"/>
  <c r="BU28" i="114"/>
  <c r="BP13" i="114"/>
  <c r="BG11" i="114" l="1"/>
  <c r="BT11" i="114" s="1"/>
  <c r="BV11" i="114" s="1"/>
  <c r="BS12" i="114" s="1"/>
  <c r="BF11" i="114"/>
  <c r="BO11" i="114" s="1"/>
  <c r="BQ9" i="114"/>
  <c r="BN10" i="114" s="1"/>
  <c r="BU29" i="114"/>
  <c r="BP14" i="114"/>
  <c r="BG12" i="114" l="1"/>
  <c r="BT12" i="114" s="1"/>
  <c r="BV12" i="114" s="1"/>
  <c r="BS13" i="114" s="1"/>
  <c r="BF12" i="114"/>
  <c r="BO12" i="114" s="1"/>
  <c r="BQ10" i="114"/>
  <c r="BQ11" i="114" s="1"/>
  <c r="BN12" i="114" s="1"/>
  <c r="BU30" i="114"/>
  <c r="BP15" i="114"/>
  <c r="BG13" i="114" l="1"/>
  <c r="BT13" i="114" s="1"/>
  <c r="BV13" i="114" s="1"/>
  <c r="BS14" i="114" s="1"/>
  <c r="BF13" i="114"/>
  <c r="BO13" i="114" s="1"/>
  <c r="BQ12" i="114"/>
  <c r="BN11" i="114"/>
  <c r="BU31" i="114"/>
  <c r="BP16" i="114"/>
  <c r="BG14" i="114" l="1"/>
  <c r="BT14" i="114" s="1"/>
  <c r="BV14" i="114" s="1"/>
  <c r="BS15" i="114" s="1"/>
  <c r="BF14" i="114"/>
  <c r="BO14" i="114" s="1"/>
  <c r="BQ13" i="114"/>
  <c r="BN14" i="114" s="1"/>
  <c r="BN13" i="114"/>
  <c r="BU32" i="114"/>
  <c r="BP17" i="114"/>
  <c r="BG15" i="114" l="1"/>
  <c r="BT15" i="114" s="1"/>
  <c r="BV15" i="114" s="1"/>
  <c r="BS16" i="114" s="1"/>
  <c r="BQ14" i="114"/>
  <c r="BN15" i="114" s="1"/>
  <c r="BF15" i="114"/>
  <c r="BO15" i="114" s="1"/>
  <c r="BU33" i="114"/>
  <c r="BP18" i="114"/>
  <c r="BG16" i="114" l="1"/>
  <c r="BT16" i="114" s="1"/>
  <c r="BV16" i="114" s="1"/>
  <c r="BS17" i="114" s="1"/>
  <c r="BQ15" i="114"/>
  <c r="BN16" i="114" s="1"/>
  <c r="BF16" i="114"/>
  <c r="BO16" i="114" s="1"/>
  <c r="BU34" i="114"/>
  <c r="BP19" i="114"/>
  <c r="BG17" i="114" l="1"/>
  <c r="BT17" i="114" s="1"/>
  <c r="BV17" i="114" s="1"/>
  <c r="BS18" i="114" s="1"/>
  <c r="BQ16" i="114"/>
  <c r="BN17" i="114" s="1"/>
  <c r="BF17" i="114"/>
  <c r="BO17" i="114" s="1"/>
  <c r="BU35" i="114"/>
  <c r="BP20" i="114"/>
  <c r="BG18" i="114" l="1"/>
  <c r="BT18" i="114" s="1"/>
  <c r="BV18" i="114" s="1"/>
  <c r="BS19" i="114" s="1"/>
  <c r="BQ17" i="114"/>
  <c r="BN18" i="114" s="1"/>
  <c r="BF18" i="114"/>
  <c r="BO18" i="114" s="1"/>
  <c r="BU36" i="114"/>
  <c r="BP21" i="114"/>
  <c r="BG19" i="114" l="1"/>
  <c r="BT19" i="114" s="1"/>
  <c r="BV19" i="114" s="1"/>
  <c r="BS20" i="114" s="1"/>
  <c r="BQ18" i="114"/>
  <c r="BN19" i="114" s="1"/>
  <c r="BF19" i="114"/>
  <c r="BO19" i="114" s="1"/>
  <c r="BU37" i="114"/>
  <c r="BP22" i="114"/>
  <c r="BP23" i="114" s="1"/>
  <c r="BP24" i="114" s="1"/>
  <c r="BG20" i="114" l="1"/>
  <c r="BT20" i="114" s="1"/>
  <c r="BV20" i="114" s="1"/>
  <c r="BS21" i="114" s="1"/>
  <c r="BQ19" i="114"/>
  <c r="BN20" i="114" s="1"/>
  <c r="BF20" i="114"/>
  <c r="BO20" i="114" s="1"/>
  <c r="BP25" i="114"/>
  <c r="BU38" i="114"/>
  <c r="BG21" i="114" l="1"/>
  <c r="BT21" i="114" s="1"/>
  <c r="BV21" i="114" s="1"/>
  <c r="BS22" i="114" s="1"/>
  <c r="BQ20" i="114"/>
  <c r="BN21" i="114" s="1"/>
  <c r="BF21" i="114"/>
  <c r="BO21" i="114" s="1"/>
  <c r="BU39" i="114"/>
  <c r="BP26" i="114"/>
  <c r="BG22" i="114" l="1"/>
  <c r="BT22" i="114" s="1"/>
  <c r="BV22" i="114" s="1"/>
  <c r="BS23" i="114" s="1"/>
  <c r="BQ21" i="114"/>
  <c r="BN22" i="114" s="1"/>
  <c r="BF22" i="114"/>
  <c r="BO22" i="114" s="1"/>
  <c r="BP27" i="114"/>
  <c r="BU40" i="114"/>
  <c r="AY15" i="114" l="1"/>
  <c r="AY18" i="114" s="1"/>
  <c r="AT15" i="114" s="1"/>
  <c r="AZ15" i="114"/>
  <c r="AZ18" i="114" s="1"/>
  <c r="AU15" i="114" s="1"/>
  <c r="BG23" i="114"/>
  <c r="BG24" i="114" s="1"/>
  <c r="BQ22" i="114"/>
  <c r="BN23" i="114" s="1"/>
  <c r="BF23" i="114"/>
  <c r="BO23" i="114" s="1"/>
  <c r="AU12" i="114"/>
  <c r="AU14" i="114" s="1"/>
  <c r="BU41" i="114"/>
  <c r="BP28" i="114"/>
  <c r="AU16" i="114" l="1"/>
  <c r="AU18" i="114" s="1"/>
  <c r="AU21" i="114" s="1"/>
  <c r="BT23" i="114"/>
  <c r="BV23" i="114" s="1"/>
  <c r="BS24" i="114" s="1"/>
  <c r="BF24" i="114"/>
  <c r="BF25" i="114" s="1"/>
  <c r="BQ23" i="114"/>
  <c r="BN24" i="114" s="1"/>
  <c r="AT12" i="114"/>
  <c r="AT14" i="114" s="1"/>
  <c r="AT16" i="114" s="1"/>
  <c r="BP29" i="114"/>
  <c r="BG25" i="114"/>
  <c r="BT24" i="114"/>
  <c r="BU42" i="114"/>
  <c r="BV24" i="114" l="1"/>
  <c r="BS25" i="114" s="1"/>
  <c r="AU19" i="114"/>
  <c r="BO24" i="114"/>
  <c r="BQ24" i="114" s="1"/>
  <c r="BN25" i="114" s="1"/>
  <c r="AT32" i="114"/>
  <c r="AT19" i="114"/>
  <c r="AT18" i="114"/>
  <c r="AT21" i="114" s="1"/>
  <c r="AT23" i="114"/>
  <c r="AT24" i="114" s="1"/>
  <c r="AU32" i="114"/>
  <c r="BG26" i="114"/>
  <c r="BT25" i="114"/>
  <c r="BP30" i="114"/>
  <c r="BF26" i="114"/>
  <c r="BO25" i="114"/>
  <c r="BV25" i="114" l="1"/>
  <c r="BS26" i="114" s="1"/>
  <c r="BQ25" i="114"/>
  <c r="BN26" i="114" s="1"/>
  <c r="AU23" i="114"/>
  <c r="AU24" i="114" s="1"/>
  <c r="AU25" i="114" s="1"/>
  <c r="AU22" i="114" s="1"/>
  <c r="AU20" i="114" s="1"/>
  <c r="AU27" i="114" s="1"/>
  <c r="AU33" i="114" s="1"/>
  <c r="AU34" i="114" s="1"/>
  <c r="AU35" i="114" s="1"/>
  <c r="AU36" i="114" s="1"/>
  <c r="BF27" i="114"/>
  <c r="BO26" i="114"/>
  <c r="BP31" i="114"/>
  <c r="BG27" i="114"/>
  <c r="BT26" i="114"/>
  <c r="AT25" i="114"/>
  <c r="AT22" i="114" s="1"/>
  <c r="AT20" i="114" s="1"/>
  <c r="AT27" i="114" s="1"/>
  <c r="BV26" i="114" l="1"/>
  <c r="BS27" i="114" s="1"/>
  <c r="BQ26" i="114"/>
  <c r="BN27" i="114" s="1"/>
  <c r="AU28" i="114"/>
  <c r="BG28" i="114"/>
  <c r="BT27" i="114"/>
  <c r="BP32" i="114"/>
  <c r="BF28" i="114"/>
  <c r="BO27" i="114"/>
  <c r="AT28" i="114"/>
  <c r="AU37" i="114" s="1"/>
  <c r="AU38" i="114" s="1"/>
  <c r="AT33" i="114"/>
  <c r="AT34" i="114" s="1"/>
  <c r="AT35" i="114" s="1"/>
  <c r="BV27" i="114" l="1"/>
  <c r="BS28" i="114" s="1"/>
  <c r="BQ27" i="114"/>
  <c r="BN28" i="114" s="1"/>
  <c r="AU39" i="114"/>
  <c r="AU29" i="114" s="1"/>
  <c r="AU26" i="114" s="1"/>
  <c r="AU40" i="114" s="1"/>
  <c r="BF29" i="114"/>
  <c r="BO28" i="114"/>
  <c r="BP33" i="114"/>
  <c r="BG29" i="114"/>
  <c r="BT28" i="114"/>
  <c r="AT36" i="114"/>
  <c r="AT37" i="114" s="1"/>
  <c r="AT38" i="114" s="1"/>
  <c r="AT39" i="114" s="1"/>
  <c r="AT29" i="114" s="1"/>
  <c r="AT26" i="114" s="1"/>
  <c r="AT40" i="114" s="1"/>
  <c r="BV28" i="114" l="1"/>
  <c r="BS29" i="114" s="1"/>
  <c r="BQ28" i="114"/>
  <c r="BN29" i="114" s="1"/>
  <c r="AT41" i="114"/>
  <c r="AL5" i="114" s="1"/>
  <c r="D18" i="121" s="1"/>
  <c r="BG30" i="114"/>
  <c r="BT29" i="114"/>
  <c r="BP34" i="114"/>
  <c r="BF30" i="114"/>
  <c r="BO29" i="114"/>
  <c r="BV29" i="114" l="1"/>
  <c r="BS30" i="114" s="1"/>
  <c r="D18" i="122"/>
  <c r="P36" i="114"/>
  <c r="AX163" i="115"/>
  <c r="BQ29" i="114"/>
  <c r="BN30" i="114" s="1"/>
  <c r="AK5" i="114"/>
  <c r="BP35" i="114"/>
  <c r="BF31" i="114"/>
  <c r="BO30" i="114"/>
  <c r="BG31" i="114"/>
  <c r="BT30" i="114"/>
  <c r="BV30" i="114" l="1"/>
  <c r="BS31" i="114" s="1"/>
  <c r="D10" i="121"/>
  <c r="D10" i="122"/>
  <c r="BQ30" i="114"/>
  <c r="BN31" i="114" s="1"/>
  <c r="AX170" i="115"/>
  <c r="P35" i="114"/>
  <c r="E4" i="122" s="1"/>
  <c r="BG32" i="114"/>
  <c r="BT31" i="114"/>
  <c r="BF32" i="114"/>
  <c r="BO31" i="114"/>
  <c r="BP36" i="114"/>
  <c r="AU6" i="93" l="1"/>
  <c r="BV31" i="114"/>
  <c r="BS32" i="114" s="1"/>
  <c r="E4" i="121"/>
  <c r="AJ50" i="115"/>
  <c r="BQ31" i="114"/>
  <c r="BN32" i="114" s="1"/>
  <c r="BP37" i="114"/>
  <c r="BF33" i="114"/>
  <c r="BO32" i="114"/>
  <c r="BG33" i="114"/>
  <c r="BT32" i="114"/>
  <c r="BV32" i="114" l="1"/>
  <c r="BS33" i="114" s="1"/>
  <c r="BQ32" i="114"/>
  <c r="BN33" i="114" s="1"/>
  <c r="BG34" i="114"/>
  <c r="BT33" i="114"/>
  <c r="BF34" i="114"/>
  <c r="BO33" i="114"/>
  <c r="BP38" i="114"/>
  <c r="BV33" i="114" l="1"/>
  <c r="BS34" i="114" s="1"/>
  <c r="BQ33" i="114"/>
  <c r="BN34" i="114" s="1"/>
  <c r="BP39" i="114"/>
  <c r="BF35" i="114"/>
  <c r="BO34" i="114"/>
  <c r="BG35" i="114"/>
  <c r="BT34" i="114"/>
  <c r="BV34" i="114" l="1"/>
  <c r="BS35" i="114" s="1"/>
  <c r="BQ34" i="114"/>
  <c r="BN35" i="114" s="1"/>
  <c r="BG36" i="114"/>
  <c r="BT35" i="114"/>
  <c r="BF36" i="114"/>
  <c r="BO35" i="114"/>
  <c r="BP40" i="114"/>
  <c r="BV35" i="114" l="1"/>
  <c r="BS36" i="114" s="1"/>
  <c r="BQ35" i="114"/>
  <c r="BN36" i="114" s="1"/>
  <c r="BP41" i="114"/>
  <c r="BF37" i="114"/>
  <c r="BO36" i="114"/>
  <c r="BG37" i="114"/>
  <c r="BT36" i="114"/>
  <c r="BV36" i="114" l="1"/>
  <c r="BS37" i="114" s="1"/>
  <c r="BQ36" i="114"/>
  <c r="BN37" i="114" s="1"/>
  <c r="BG38" i="114"/>
  <c r="BT37" i="114"/>
  <c r="BF38" i="114"/>
  <c r="BO37" i="114"/>
  <c r="BP42" i="114"/>
  <c r="BV37" i="114" l="1"/>
  <c r="BS38" i="114" s="1"/>
  <c r="BQ37" i="114"/>
  <c r="BN38" i="114" s="1"/>
  <c r="BF39" i="114"/>
  <c r="BO38" i="114"/>
  <c r="BG39" i="114"/>
  <c r="BT38" i="114"/>
  <c r="BV38" i="114" l="1"/>
  <c r="BS39" i="114" s="1"/>
  <c r="BQ38" i="114"/>
  <c r="BN39" i="114" s="1"/>
  <c r="BG40" i="114"/>
  <c r="BT39" i="114"/>
  <c r="BF40" i="114"/>
  <c r="BO39" i="114"/>
  <c r="BV39" i="114" l="1"/>
  <c r="BS40" i="114" s="1"/>
  <c r="BQ39" i="114"/>
  <c r="BN40" i="114" s="1"/>
  <c r="BF41" i="114"/>
  <c r="BO40" i="114"/>
  <c r="BG41" i="114"/>
  <c r="BT40" i="114"/>
  <c r="BV40" i="114" l="1"/>
  <c r="BS41" i="114" s="1"/>
  <c r="BQ40" i="114"/>
  <c r="BN41" i="114" s="1"/>
  <c r="BG42" i="114"/>
  <c r="BT42" i="114" s="1"/>
  <c r="BT41" i="114"/>
  <c r="BF42" i="114"/>
  <c r="BO42" i="114" s="1"/>
  <c r="BO41" i="114"/>
  <c r="BV41" i="114" l="1"/>
  <c r="BS42" i="114" s="1"/>
  <c r="BQ41" i="114"/>
  <c r="BN42" i="114" s="1"/>
  <c r="BV42" i="114" l="1"/>
  <c r="BQ42" i="114"/>
</calcChain>
</file>

<file path=xl/comments1.xml><?xml version="1.0" encoding="utf-8"?>
<comments xmlns="http://schemas.openxmlformats.org/spreadsheetml/2006/main">
  <authors>
    <author>Home PC</author>
  </authors>
  <commentList>
    <comment ref="AS30" authorId="0">
      <text>
        <r>
          <rPr>
            <b/>
            <sz val="9"/>
            <color indexed="81"/>
            <rFont val="Tahoma"/>
            <family val="2"/>
          </rPr>
          <t>Where partial = 50% reduction and 100% is full exemption</t>
        </r>
      </text>
    </comment>
  </commentList>
</comments>
</file>

<file path=xl/comments2.xml><?xml version="1.0" encoding="utf-8"?>
<comments xmlns="http://schemas.openxmlformats.org/spreadsheetml/2006/main">
  <authors>
    <author>Steven Rust</author>
    <author>Jim Hennington</author>
  </authors>
  <commentList>
    <comment ref="P30" authorId="0">
      <text>
        <r>
          <rPr>
            <b/>
            <sz val="9"/>
            <color indexed="81"/>
            <rFont val="Tahoma"/>
            <family val="2"/>
          </rPr>
          <t>Steven Rust:</t>
        </r>
        <r>
          <rPr>
            <sz val="9"/>
            <color indexed="81"/>
            <rFont val="Tahoma"/>
            <family val="2"/>
          </rPr>
          <t xml:space="preserve">
Total annuity income</t>
        </r>
      </text>
    </comment>
    <comment ref="AW30" authorId="1">
      <text>
        <r>
          <rPr>
            <b/>
            <sz val="9"/>
            <color indexed="81"/>
            <rFont val="Tahoma"/>
            <family val="2"/>
          </rPr>
          <t>Uses the deeming rate percentages to estimate income</t>
        </r>
      </text>
    </comment>
    <comment ref="CI30" authorId="0">
      <text>
        <r>
          <rPr>
            <b/>
            <sz val="9"/>
            <color indexed="81"/>
            <rFont val="Tahoma"/>
            <family val="2"/>
          </rPr>
          <t>Jim:  
this will just be their super balance</t>
        </r>
      </text>
    </comment>
    <comment ref="CJ30" authorId="0">
      <text>
        <r>
          <rPr>
            <b/>
            <sz val="9"/>
            <color indexed="81"/>
            <rFont val="Tahoma"/>
            <family val="2"/>
          </rPr>
          <t xml:space="preserve">Steven Rust:
</t>
        </r>
        <r>
          <rPr>
            <sz val="9"/>
            <color indexed="81"/>
            <rFont val="Tahoma"/>
            <family val="2"/>
          </rPr>
          <t xml:space="preserve">
This is just the amount drawn out this year</t>
        </r>
      </text>
    </comment>
    <comment ref="CK30" authorId="0">
      <text>
        <r>
          <rPr>
            <b/>
            <sz val="9"/>
            <color indexed="81"/>
            <rFont val="Tahoma"/>
            <family val="2"/>
          </rPr>
          <t>Steven Rust:</t>
        </r>
        <r>
          <rPr>
            <sz val="9"/>
            <color indexed="81"/>
            <rFont val="Tahoma"/>
            <family val="2"/>
          </rPr>
          <t xml:space="preserve">
For account based pensions, this will be the result from applying the Centrelink deeming rules.
</t>
        </r>
      </text>
    </comment>
    <comment ref="CL30" authorId="0">
      <text>
        <r>
          <rPr>
            <b/>
            <sz val="9"/>
            <color indexed="81"/>
            <rFont val="Tahoma"/>
            <family val="2"/>
          </rPr>
          <t xml:space="preserve">Jim:  not sure we'll need this…  
</t>
        </r>
        <r>
          <rPr>
            <sz val="9"/>
            <color indexed="81"/>
            <rFont val="Tahoma"/>
            <family val="2"/>
          </rPr>
          <t>I think this is for older pensions that are 'grandfathered' meaning they are treated under old Centrelink rules which use the 'DA' = deductive amount.</t>
        </r>
        <r>
          <rPr>
            <b/>
            <sz val="9"/>
            <color indexed="81"/>
            <rFont val="Tahoma"/>
            <family val="2"/>
          </rPr>
          <t xml:space="preserve">
</t>
        </r>
        <r>
          <rPr>
            <sz val="9"/>
            <color indexed="81"/>
            <rFont val="Tahoma"/>
            <family val="2"/>
          </rPr>
          <t xml:space="preserve">
</t>
        </r>
      </text>
    </comment>
    <comment ref="CM30" authorId="0">
      <text>
        <r>
          <rPr>
            <b/>
            <sz val="9"/>
            <color indexed="81"/>
            <rFont val="Tahoma"/>
            <family val="2"/>
          </rPr>
          <t xml:space="preserve">Jim:  not sure we'll need this…  
</t>
        </r>
        <r>
          <rPr>
            <sz val="9"/>
            <color indexed="81"/>
            <rFont val="Tahoma"/>
            <family val="2"/>
          </rPr>
          <t xml:space="preserve">I think this is for older pensions that are 'grandfathered' meaning they are treated under old Centrelink rules which use the 'RN' = relevant number
</t>
        </r>
      </text>
    </comment>
    <comment ref="CV30" authorId="0">
      <text>
        <r>
          <rPr>
            <b/>
            <sz val="9"/>
            <color indexed="81"/>
            <rFont val="Tahoma"/>
            <family val="2"/>
          </rPr>
          <t>Steven Rust:</t>
        </r>
        <r>
          <rPr>
            <sz val="9"/>
            <color indexed="81"/>
            <rFont val="Tahoma"/>
            <family val="2"/>
          </rPr>
          <t xml:space="preserve">
Commutation value as per page 5 of the spec</t>
        </r>
      </text>
    </comment>
    <comment ref="CW30" authorId="0">
      <text>
        <r>
          <rPr>
            <b/>
            <sz val="9"/>
            <color indexed="81"/>
            <rFont val="Tahoma"/>
            <family val="2"/>
          </rPr>
          <t>Steven Rust:</t>
        </r>
        <r>
          <rPr>
            <sz val="9"/>
            <color indexed="81"/>
            <rFont val="Tahoma"/>
            <family val="2"/>
          </rPr>
          <t xml:space="preserve">
Commutation value as per page 5 of the spec</t>
        </r>
      </text>
    </comment>
    <comment ref="CZ30" authorId="0">
      <text>
        <r>
          <rPr>
            <b/>
            <sz val="9"/>
            <color indexed="81"/>
            <rFont val="Tahoma"/>
            <family val="2"/>
          </rPr>
          <t>Steven Rust:</t>
        </r>
        <r>
          <rPr>
            <sz val="9"/>
            <color indexed="81"/>
            <rFont val="Tahoma"/>
            <family val="2"/>
          </rPr>
          <t xml:space="preserve">
Income test result as per page 5 of the spec
AP-[(PP-RCV)/RN]
</t>
        </r>
      </text>
    </comment>
    <comment ref="DA30" authorId="0">
      <text>
        <r>
          <rPr>
            <b/>
            <sz val="9"/>
            <color indexed="81"/>
            <rFont val="Tahoma"/>
            <family val="2"/>
          </rPr>
          <t>Steven Rust:</t>
        </r>
        <r>
          <rPr>
            <sz val="9"/>
            <color indexed="81"/>
            <rFont val="Tahoma"/>
            <family val="2"/>
          </rPr>
          <t xml:space="preserve">
Annual payment this year</t>
        </r>
      </text>
    </comment>
    <comment ref="DM30" authorId="0">
      <text>
        <r>
          <rPr>
            <b/>
            <sz val="9"/>
            <color indexed="81"/>
            <rFont val="Tahoma"/>
            <family val="2"/>
          </rPr>
          <t>Steven Rust:</t>
        </r>
        <r>
          <rPr>
            <sz val="9"/>
            <color indexed="81"/>
            <rFont val="Tahoma"/>
            <family val="2"/>
          </rPr>
          <t xml:space="preserve">
Commutation value as per page 5 of the spec</t>
        </r>
      </text>
    </comment>
    <comment ref="DN30" authorId="0">
      <text>
        <r>
          <rPr>
            <b/>
            <sz val="9"/>
            <color indexed="81"/>
            <rFont val="Tahoma"/>
            <family val="2"/>
          </rPr>
          <t>Steven Rust:</t>
        </r>
        <r>
          <rPr>
            <sz val="9"/>
            <color indexed="81"/>
            <rFont val="Tahoma"/>
            <family val="2"/>
          </rPr>
          <t xml:space="preserve">
Commutation value as per page 5 of the spec</t>
        </r>
      </text>
    </comment>
    <comment ref="DQ30" authorId="0">
      <text>
        <r>
          <rPr>
            <b/>
            <sz val="9"/>
            <color indexed="81"/>
            <rFont val="Tahoma"/>
            <family val="2"/>
          </rPr>
          <t>Steven Rust:</t>
        </r>
        <r>
          <rPr>
            <sz val="9"/>
            <color indexed="81"/>
            <rFont val="Tahoma"/>
            <family val="2"/>
          </rPr>
          <t xml:space="preserve">
Income test result as per page 5 of the spec
AP-[(PP-RCV)/RN]
</t>
        </r>
      </text>
    </comment>
    <comment ref="DR30" authorId="0">
      <text>
        <r>
          <rPr>
            <b/>
            <sz val="9"/>
            <color indexed="81"/>
            <rFont val="Tahoma"/>
            <family val="2"/>
          </rPr>
          <t>Steven Rust:</t>
        </r>
        <r>
          <rPr>
            <sz val="9"/>
            <color indexed="81"/>
            <rFont val="Tahoma"/>
            <family val="2"/>
          </rPr>
          <t xml:space="preserve">
Annual payment this year</t>
        </r>
      </text>
    </comment>
    <comment ref="ED30" authorId="0">
      <text>
        <r>
          <rPr>
            <b/>
            <sz val="9"/>
            <color indexed="81"/>
            <rFont val="Tahoma"/>
            <family val="2"/>
          </rPr>
          <t>Steven Rust:</t>
        </r>
        <r>
          <rPr>
            <sz val="9"/>
            <color indexed="81"/>
            <rFont val="Tahoma"/>
            <family val="2"/>
          </rPr>
          <t xml:space="preserve">
Commutation value as per page 5 of the spec</t>
        </r>
      </text>
    </comment>
    <comment ref="EE30" authorId="0">
      <text>
        <r>
          <rPr>
            <b/>
            <sz val="9"/>
            <color indexed="81"/>
            <rFont val="Tahoma"/>
            <family val="2"/>
          </rPr>
          <t>Steven Rust:</t>
        </r>
        <r>
          <rPr>
            <sz val="9"/>
            <color indexed="81"/>
            <rFont val="Tahoma"/>
            <family val="2"/>
          </rPr>
          <t xml:space="preserve">
Commutation value as per page 5 of the spec</t>
        </r>
      </text>
    </comment>
    <comment ref="EH30" authorId="0">
      <text>
        <r>
          <rPr>
            <b/>
            <sz val="9"/>
            <color indexed="81"/>
            <rFont val="Tahoma"/>
            <family val="2"/>
          </rPr>
          <t>Steven Rust:</t>
        </r>
        <r>
          <rPr>
            <sz val="9"/>
            <color indexed="81"/>
            <rFont val="Tahoma"/>
            <family val="2"/>
          </rPr>
          <t xml:space="preserve">
Income test result as per page 5 of the spec
AP-[(PP-RCV)/RN]
</t>
        </r>
      </text>
    </comment>
    <comment ref="EI30" authorId="0">
      <text>
        <r>
          <rPr>
            <b/>
            <sz val="9"/>
            <color indexed="81"/>
            <rFont val="Tahoma"/>
            <family val="2"/>
          </rPr>
          <t>Steven Rust:</t>
        </r>
        <r>
          <rPr>
            <sz val="9"/>
            <color indexed="81"/>
            <rFont val="Tahoma"/>
            <family val="2"/>
          </rPr>
          <t xml:space="preserve">
Annual payment this year</t>
        </r>
      </text>
    </comment>
    <comment ref="EQ30" authorId="0">
      <text>
        <r>
          <rPr>
            <b/>
            <sz val="9"/>
            <color indexed="81"/>
            <rFont val="Tahoma"/>
            <family val="2"/>
          </rPr>
          <t>Steven Rust:</t>
        </r>
        <r>
          <rPr>
            <sz val="9"/>
            <color indexed="81"/>
            <rFont val="Tahoma"/>
            <family val="2"/>
          </rPr>
          <t xml:space="preserve">
Commutation value as per page 5 of the spec</t>
        </r>
      </text>
    </comment>
    <comment ref="ET30" authorId="0">
      <text>
        <r>
          <rPr>
            <b/>
            <sz val="9"/>
            <color indexed="81"/>
            <rFont val="Tahoma"/>
            <family val="2"/>
          </rPr>
          <t>Steven Rust:</t>
        </r>
        <r>
          <rPr>
            <sz val="9"/>
            <color indexed="81"/>
            <rFont val="Tahoma"/>
            <family val="2"/>
          </rPr>
          <t xml:space="preserve">
Commutation value as per page 5 of the spec</t>
        </r>
      </text>
    </comment>
    <comment ref="EV30" authorId="0">
      <text>
        <r>
          <rPr>
            <b/>
            <sz val="9"/>
            <color indexed="81"/>
            <rFont val="Tahoma"/>
            <family val="2"/>
          </rPr>
          <t>Steven Rust:</t>
        </r>
        <r>
          <rPr>
            <sz val="9"/>
            <color indexed="81"/>
            <rFont val="Tahoma"/>
            <family val="2"/>
          </rPr>
          <t xml:space="preserve">
the RCV when the term expires, zero otherwise</t>
        </r>
      </text>
    </comment>
    <comment ref="EY30" authorId="0">
      <text>
        <r>
          <rPr>
            <b/>
            <sz val="9"/>
            <color indexed="81"/>
            <rFont val="Tahoma"/>
            <family val="2"/>
          </rPr>
          <t>Steven Rust:</t>
        </r>
        <r>
          <rPr>
            <sz val="9"/>
            <color indexed="81"/>
            <rFont val="Tahoma"/>
            <family val="2"/>
          </rPr>
          <t xml:space="preserve">
Annual payment this year</t>
        </r>
      </text>
    </comment>
    <comment ref="FG30" authorId="0">
      <text>
        <r>
          <rPr>
            <b/>
            <sz val="9"/>
            <color indexed="81"/>
            <rFont val="Tahoma"/>
            <family val="2"/>
          </rPr>
          <t>Steven Rust:</t>
        </r>
        <r>
          <rPr>
            <sz val="9"/>
            <color indexed="81"/>
            <rFont val="Tahoma"/>
            <family val="2"/>
          </rPr>
          <t xml:space="preserve">
Commutation value as per page 5 of the spec</t>
        </r>
      </text>
    </comment>
    <comment ref="FJ30" authorId="0">
      <text>
        <r>
          <rPr>
            <b/>
            <sz val="9"/>
            <color indexed="81"/>
            <rFont val="Tahoma"/>
            <family val="2"/>
          </rPr>
          <t>Steven Rust:</t>
        </r>
        <r>
          <rPr>
            <sz val="9"/>
            <color indexed="81"/>
            <rFont val="Tahoma"/>
            <family val="2"/>
          </rPr>
          <t xml:space="preserve">
Commutation value as per page 5 of the spec</t>
        </r>
      </text>
    </comment>
    <comment ref="FL30" authorId="0">
      <text>
        <r>
          <rPr>
            <b/>
            <sz val="9"/>
            <color indexed="81"/>
            <rFont val="Tahoma"/>
            <family val="2"/>
          </rPr>
          <t>Steven Rust:</t>
        </r>
        <r>
          <rPr>
            <sz val="9"/>
            <color indexed="81"/>
            <rFont val="Tahoma"/>
            <family val="2"/>
          </rPr>
          <t xml:space="preserve">
the RCV when the term expires, zero otherwise</t>
        </r>
      </text>
    </comment>
    <comment ref="FO30" authorId="0">
      <text>
        <r>
          <rPr>
            <b/>
            <sz val="9"/>
            <color indexed="81"/>
            <rFont val="Tahoma"/>
            <family val="2"/>
          </rPr>
          <t>Steven Rust:</t>
        </r>
        <r>
          <rPr>
            <sz val="9"/>
            <color indexed="81"/>
            <rFont val="Tahoma"/>
            <family val="2"/>
          </rPr>
          <t xml:space="preserve">
Annual payment this year</t>
        </r>
      </text>
    </comment>
    <comment ref="FU30" authorId="0">
      <text>
        <r>
          <rPr>
            <b/>
            <sz val="9"/>
            <color indexed="81"/>
            <rFont val="Tahoma"/>
            <family val="2"/>
          </rPr>
          <t>Jim:  
this will just be their super balance</t>
        </r>
      </text>
    </comment>
    <comment ref="FV30" authorId="0">
      <text>
        <r>
          <rPr>
            <b/>
            <sz val="9"/>
            <color indexed="81"/>
            <rFont val="Tahoma"/>
            <family val="2"/>
          </rPr>
          <t xml:space="preserve">Steven Rust:
</t>
        </r>
        <r>
          <rPr>
            <sz val="9"/>
            <color indexed="81"/>
            <rFont val="Tahoma"/>
            <family val="2"/>
          </rPr>
          <t xml:space="preserve">
This is just the amount drawn out this year</t>
        </r>
      </text>
    </comment>
    <comment ref="FW30" authorId="0">
      <text>
        <r>
          <rPr>
            <b/>
            <sz val="9"/>
            <color indexed="81"/>
            <rFont val="Tahoma"/>
            <family val="2"/>
          </rPr>
          <t>Steven Rust:</t>
        </r>
        <r>
          <rPr>
            <sz val="9"/>
            <color indexed="81"/>
            <rFont val="Tahoma"/>
            <family val="2"/>
          </rPr>
          <t xml:space="preserve">
For account based pensions, this will be the result from applying the Centrelink deeming rules.
</t>
        </r>
      </text>
    </comment>
    <comment ref="FY30" authorId="0">
      <text>
        <r>
          <rPr>
            <b/>
            <sz val="9"/>
            <color indexed="81"/>
            <rFont val="Tahoma"/>
            <family val="2"/>
          </rPr>
          <t xml:space="preserve">Jim:  not sure we'll need this…  
</t>
        </r>
        <r>
          <rPr>
            <sz val="9"/>
            <color indexed="81"/>
            <rFont val="Tahoma"/>
            <family val="2"/>
          </rPr>
          <t xml:space="preserve">I think this is for older pensions that are 'grandfathered' meaning they are treated under old Centrelink rules which use the 'RN' = relevant number
</t>
        </r>
      </text>
    </comment>
    <comment ref="GH30" authorId="0">
      <text>
        <r>
          <rPr>
            <b/>
            <sz val="9"/>
            <color indexed="81"/>
            <rFont val="Tahoma"/>
            <family val="2"/>
          </rPr>
          <t>Steven Rust:</t>
        </r>
        <r>
          <rPr>
            <sz val="9"/>
            <color indexed="81"/>
            <rFont val="Tahoma"/>
            <family val="2"/>
          </rPr>
          <t xml:space="preserve">
Commutation value as per page 5 of the spec</t>
        </r>
      </text>
    </comment>
    <comment ref="GI30" authorId="0">
      <text>
        <r>
          <rPr>
            <b/>
            <sz val="9"/>
            <color indexed="81"/>
            <rFont val="Tahoma"/>
            <family val="2"/>
          </rPr>
          <t>Steven Rust:</t>
        </r>
        <r>
          <rPr>
            <sz val="9"/>
            <color indexed="81"/>
            <rFont val="Tahoma"/>
            <family val="2"/>
          </rPr>
          <t xml:space="preserve">
Commutation value as per page 5 of the spec</t>
        </r>
      </text>
    </comment>
    <comment ref="GL30" authorId="0">
      <text>
        <r>
          <rPr>
            <b/>
            <sz val="9"/>
            <color indexed="81"/>
            <rFont val="Tahoma"/>
            <family val="2"/>
          </rPr>
          <t>Steven Rust:</t>
        </r>
        <r>
          <rPr>
            <sz val="9"/>
            <color indexed="81"/>
            <rFont val="Tahoma"/>
            <family val="2"/>
          </rPr>
          <t xml:space="preserve">
Income test result as per page 5 of the spec
AP-[(PP-RCV)/RN]
</t>
        </r>
      </text>
    </comment>
    <comment ref="GM30" authorId="0">
      <text>
        <r>
          <rPr>
            <b/>
            <sz val="9"/>
            <color indexed="81"/>
            <rFont val="Tahoma"/>
            <family val="2"/>
          </rPr>
          <t>Steven Rust:</t>
        </r>
        <r>
          <rPr>
            <sz val="9"/>
            <color indexed="81"/>
            <rFont val="Tahoma"/>
            <family val="2"/>
          </rPr>
          <t xml:space="preserve">
Annual payment this year</t>
        </r>
      </text>
    </comment>
    <comment ref="GY30" authorId="0">
      <text>
        <r>
          <rPr>
            <b/>
            <sz val="9"/>
            <color indexed="81"/>
            <rFont val="Tahoma"/>
            <family val="2"/>
          </rPr>
          <t>Steven Rust:</t>
        </r>
        <r>
          <rPr>
            <sz val="9"/>
            <color indexed="81"/>
            <rFont val="Tahoma"/>
            <family val="2"/>
          </rPr>
          <t xml:space="preserve">
Commutation value as per page 5 of the spec</t>
        </r>
      </text>
    </comment>
    <comment ref="GZ30" authorId="0">
      <text>
        <r>
          <rPr>
            <b/>
            <sz val="9"/>
            <color indexed="81"/>
            <rFont val="Tahoma"/>
            <family val="2"/>
          </rPr>
          <t>Steven Rust:</t>
        </r>
        <r>
          <rPr>
            <sz val="9"/>
            <color indexed="81"/>
            <rFont val="Tahoma"/>
            <family val="2"/>
          </rPr>
          <t xml:space="preserve">
Commutation value as per page 5 of the spec</t>
        </r>
      </text>
    </comment>
    <comment ref="HC30" authorId="0">
      <text>
        <r>
          <rPr>
            <b/>
            <sz val="9"/>
            <color indexed="81"/>
            <rFont val="Tahoma"/>
            <family val="2"/>
          </rPr>
          <t>Steven Rust:</t>
        </r>
        <r>
          <rPr>
            <sz val="9"/>
            <color indexed="81"/>
            <rFont val="Tahoma"/>
            <family val="2"/>
          </rPr>
          <t xml:space="preserve">
Income test result as per page 5 of the spec
AP-[(PP-RCV)/RN]
</t>
        </r>
      </text>
    </comment>
    <comment ref="HD30" authorId="0">
      <text>
        <r>
          <rPr>
            <b/>
            <sz val="9"/>
            <color indexed="81"/>
            <rFont val="Tahoma"/>
            <family val="2"/>
          </rPr>
          <t>Steven Rust:</t>
        </r>
        <r>
          <rPr>
            <sz val="9"/>
            <color indexed="81"/>
            <rFont val="Tahoma"/>
            <family val="2"/>
          </rPr>
          <t xml:space="preserve">
Annual payment this year</t>
        </r>
      </text>
    </comment>
    <comment ref="HP30" authorId="0">
      <text>
        <r>
          <rPr>
            <b/>
            <sz val="9"/>
            <color indexed="81"/>
            <rFont val="Tahoma"/>
            <family val="2"/>
          </rPr>
          <t>Steven Rust:</t>
        </r>
        <r>
          <rPr>
            <sz val="9"/>
            <color indexed="81"/>
            <rFont val="Tahoma"/>
            <family val="2"/>
          </rPr>
          <t xml:space="preserve">
Commutation value as per page 5 of the spec</t>
        </r>
      </text>
    </comment>
    <comment ref="HQ30" authorId="0">
      <text>
        <r>
          <rPr>
            <b/>
            <sz val="9"/>
            <color indexed="81"/>
            <rFont val="Tahoma"/>
            <family val="2"/>
          </rPr>
          <t>Steven Rust:</t>
        </r>
        <r>
          <rPr>
            <sz val="9"/>
            <color indexed="81"/>
            <rFont val="Tahoma"/>
            <family val="2"/>
          </rPr>
          <t xml:space="preserve">
Commutation value as per page 5 of the spec</t>
        </r>
      </text>
    </comment>
    <comment ref="HT30" authorId="0">
      <text>
        <r>
          <rPr>
            <b/>
            <sz val="9"/>
            <color indexed="81"/>
            <rFont val="Tahoma"/>
            <family val="2"/>
          </rPr>
          <t>Steven Rust:</t>
        </r>
        <r>
          <rPr>
            <sz val="9"/>
            <color indexed="81"/>
            <rFont val="Tahoma"/>
            <family val="2"/>
          </rPr>
          <t xml:space="preserve">
Income test result as per page 5 of the spec
AP-[(PP-RCV)/RN]
</t>
        </r>
      </text>
    </comment>
    <comment ref="HU30" authorId="0">
      <text>
        <r>
          <rPr>
            <b/>
            <sz val="9"/>
            <color indexed="81"/>
            <rFont val="Tahoma"/>
            <family val="2"/>
          </rPr>
          <t>Steven Rust:</t>
        </r>
        <r>
          <rPr>
            <sz val="9"/>
            <color indexed="81"/>
            <rFont val="Tahoma"/>
            <family val="2"/>
          </rPr>
          <t xml:space="preserve">
Annual payment this year</t>
        </r>
      </text>
    </comment>
    <comment ref="IC30" authorId="0">
      <text>
        <r>
          <rPr>
            <b/>
            <sz val="9"/>
            <color indexed="81"/>
            <rFont val="Tahoma"/>
            <family val="2"/>
          </rPr>
          <t>Steven Rust:</t>
        </r>
        <r>
          <rPr>
            <sz val="9"/>
            <color indexed="81"/>
            <rFont val="Tahoma"/>
            <family val="2"/>
          </rPr>
          <t xml:space="preserve">
Commutation value as per page 5 of the spec</t>
        </r>
      </text>
    </comment>
    <comment ref="IF30" authorId="0">
      <text>
        <r>
          <rPr>
            <b/>
            <sz val="9"/>
            <color indexed="81"/>
            <rFont val="Tahoma"/>
            <family val="2"/>
          </rPr>
          <t>Steven Rust:</t>
        </r>
        <r>
          <rPr>
            <sz val="9"/>
            <color indexed="81"/>
            <rFont val="Tahoma"/>
            <family val="2"/>
          </rPr>
          <t xml:space="preserve">
Commutation value as per page 5 of the spec</t>
        </r>
      </text>
    </comment>
    <comment ref="IH30" authorId="0">
      <text>
        <r>
          <rPr>
            <b/>
            <sz val="9"/>
            <color indexed="81"/>
            <rFont val="Tahoma"/>
            <family val="2"/>
          </rPr>
          <t>Steven Rust:</t>
        </r>
        <r>
          <rPr>
            <sz val="9"/>
            <color indexed="81"/>
            <rFont val="Tahoma"/>
            <family val="2"/>
          </rPr>
          <t xml:space="preserve">
the RCV when the term expires, zero otherwise</t>
        </r>
      </text>
    </comment>
    <comment ref="IK30" authorId="0">
      <text>
        <r>
          <rPr>
            <b/>
            <sz val="9"/>
            <color indexed="81"/>
            <rFont val="Tahoma"/>
            <family val="2"/>
          </rPr>
          <t>Steven Rust:</t>
        </r>
        <r>
          <rPr>
            <sz val="9"/>
            <color indexed="81"/>
            <rFont val="Tahoma"/>
            <family val="2"/>
          </rPr>
          <t xml:space="preserve">
Annual payment this year</t>
        </r>
      </text>
    </comment>
    <comment ref="IS30" authorId="0">
      <text>
        <r>
          <rPr>
            <b/>
            <sz val="9"/>
            <color indexed="81"/>
            <rFont val="Tahoma"/>
            <family val="2"/>
          </rPr>
          <t>Steven Rust:</t>
        </r>
        <r>
          <rPr>
            <sz val="9"/>
            <color indexed="81"/>
            <rFont val="Tahoma"/>
            <family val="2"/>
          </rPr>
          <t xml:space="preserve">
Commutation value as per page 5 of the spec</t>
        </r>
      </text>
    </comment>
    <comment ref="IV30" authorId="0">
      <text>
        <r>
          <rPr>
            <b/>
            <sz val="9"/>
            <color indexed="81"/>
            <rFont val="Tahoma"/>
            <family val="2"/>
          </rPr>
          <t>Steven Rust:</t>
        </r>
        <r>
          <rPr>
            <sz val="9"/>
            <color indexed="81"/>
            <rFont val="Tahoma"/>
            <family val="2"/>
          </rPr>
          <t xml:space="preserve">
Commutation value as per page 5 of the spec</t>
        </r>
      </text>
    </comment>
    <comment ref="IX30" authorId="0">
      <text>
        <r>
          <rPr>
            <b/>
            <sz val="9"/>
            <color indexed="81"/>
            <rFont val="Tahoma"/>
            <family val="2"/>
          </rPr>
          <t>Steven Rust:</t>
        </r>
        <r>
          <rPr>
            <sz val="9"/>
            <color indexed="81"/>
            <rFont val="Tahoma"/>
            <family val="2"/>
          </rPr>
          <t xml:space="preserve">
the RCV when the term expires, zero otherwise</t>
        </r>
      </text>
    </comment>
    <comment ref="JA30" authorId="0">
      <text>
        <r>
          <rPr>
            <b/>
            <sz val="9"/>
            <color indexed="81"/>
            <rFont val="Tahoma"/>
            <family val="2"/>
          </rPr>
          <t>Steven Rust:</t>
        </r>
        <r>
          <rPr>
            <sz val="9"/>
            <color indexed="81"/>
            <rFont val="Tahoma"/>
            <family val="2"/>
          </rPr>
          <t xml:space="preserve">
Annual payment this year</t>
        </r>
      </text>
    </comment>
  </commentList>
</comments>
</file>

<file path=xl/comments3.xml><?xml version="1.0" encoding="utf-8"?>
<comments xmlns="http://schemas.openxmlformats.org/spreadsheetml/2006/main">
  <authors>
    <author>Melanie Dunn</author>
  </authors>
  <commentList>
    <comment ref="K28" authorId="0">
      <text>
        <r>
          <rPr>
            <b/>
            <sz val="9"/>
            <color indexed="81"/>
            <rFont val="Tahoma"/>
            <family val="2"/>
          </rPr>
          <t>Melanie Dunn:</t>
        </r>
        <r>
          <rPr>
            <sz val="9"/>
            <color indexed="81"/>
            <rFont val="Tahoma"/>
            <family val="2"/>
          </rPr>
          <t xml:space="preserve">
IRR calculation for challenger liquid lifetime assumes 0% loading on earning rate</t>
        </r>
      </text>
    </comment>
  </commentList>
</comments>
</file>

<file path=xl/sharedStrings.xml><?xml version="1.0" encoding="utf-8"?>
<sst xmlns="http://schemas.openxmlformats.org/spreadsheetml/2006/main" count="3127" uniqueCount="1312">
  <si>
    <t>Single</t>
  </si>
  <si>
    <t>Maximum basic rate</t>
  </si>
  <si>
    <t>Maximum Pension Supplement</t>
  </si>
  <si>
    <t>Age</t>
  </si>
  <si>
    <t>Female</t>
  </si>
  <si>
    <t>Male</t>
  </si>
  <si>
    <t>Pension Age Requirements - note 0.5 = '6months' and where there is not a day i.e. born 31 march - Sept is 6 months later but only 30 Sept then eligible 1 Oct</t>
  </si>
  <si>
    <t>Homeowner</t>
  </si>
  <si>
    <t>Deeming Rates</t>
  </si>
  <si>
    <t>Centrelink Deeming Rates</t>
  </si>
  <si>
    <t>Couple</t>
  </si>
  <si>
    <t>Mortality Improvement</t>
  </si>
  <si>
    <t>qx</t>
  </si>
  <si>
    <t>male</t>
  </si>
  <si>
    <t>ALT</t>
  </si>
  <si>
    <t>Income</t>
  </si>
  <si>
    <t>Date of Birth:</t>
  </si>
  <si>
    <t>Yes</t>
  </si>
  <si>
    <t>No</t>
  </si>
  <si>
    <t>Eligible financial year</t>
  </si>
  <si>
    <t>Names</t>
  </si>
  <si>
    <t>Date of birth</t>
  </si>
  <si>
    <t>Person 1</t>
  </si>
  <si>
    <t>Person 2</t>
  </si>
  <si>
    <t>Gender</t>
  </si>
  <si>
    <t>Household</t>
  </si>
  <si>
    <t>Family status</t>
  </si>
  <si>
    <t>Valuation date</t>
  </si>
  <si>
    <t>Non-super assets</t>
  </si>
  <si>
    <t xml:space="preserve">Non-super </t>
  </si>
  <si>
    <t>Centrelink</t>
  </si>
  <si>
    <t>Financial snapshot</t>
  </si>
  <si>
    <t>HomeOwner?</t>
  </si>
  <si>
    <t>Asset test</t>
  </si>
  <si>
    <t>Result</t>
  </si>
  <si>
    <t>Number of Simulations</t>
  </si>
  <si>
    <t>Super</t>
  </si>
  <si>
    <t>Annual</t>
  </si>
  <si>
    <t>Age at Valn Date</t>
  </si>
  <si>
    <t>Assets</t>
  </si>
  <si>
    <t>Test</t>
  </si>
  <si>
    <t>Mortality Information</t>
  </si>
  <si>
    <t>Mortality Table ALT 2005-07</t>
  </si>
  <si>
    <t>25yr Improvements</t>
  </si>
  <si>
    <t>NonSuper</t>
  </si>
  <si>
    <t xml:space="preserve">Gender   </t>
  </si>
  <si>
    <t xml:space="preserve">Own Home?  </t>
  </si>
  <si>
    <t>per annum</t>
  </si>
  <si>
    <t xml:space="preserve">Personal Assets  </t>
  </si>
  <si>
    <t>Property</t>
  </si>
  <si>
    <t xml:space="preserve">Income per annum  </t>
  </si>
  <si>
    <t>from valuation date</t>
  </si>
  <si>
    <t>Assets ($)</t>
  </si>
  <si>
    <t>Non-Super Assets</t>
  </si>
  <si>
    <t>Reversionary?</t>
  </si>
  <si>
    <t>Females</t>
  </si>
  <si>
    <t>Males</t>
  </si>
  <si>
    <t xml:space="preserve"> </t>
  </si>
  <si>
    <t>Under 65</t>
  </si>
  <si>
    <t>65-74</t>
  </si>
  <si>
    <t>75-79</t>
  </si>
  <si>
    <t>80-84</t>
  </si>
  <si>
    <t>85-89</t>
  </si>
  <si>
    <t>90-94</t>
  </si>
  <si>
    <t>95 or more</t>
  </si>
  <si>
    <t>Min Drawdown</t>
  </si>
  <si>
    <t>Term</t>
  </si>
  <si>
    <t>Other Income</t>
  </si>
  <si>
    <t>will be treated as taxable income, part of income test for centrelink and no SG conts</t>
  </si>
  <si>
    <t>Remaining years of income</t>
  </si>
  <si>
    <t>Under Age</t>
  </si>
  <si>
    <t>Year</t>
  </si>
  <si>
    <t>P1</t>
  </si>
  <si>
    <t>P2</t>
  </si>
  <si>
    <t>Pensions</t>
  </si>
  <si>
    <t>Annuity</t>
  </si>
  <si>
    <t>Date</t>
  </si>
  <si>
    <t>Current</t>
  </si>
  <si>
    <t>Personal Assets</t>
  </si>
  <si>
    <t>Total</t>
  </si>
  <si>
    <t>Other</t>
  </si>
  <si>
    <t>Age Pension Qualification: born on or after …</t>
  </si>
  <si>
    <t>Annual Income Limits</t>
  </si>
  <si>
    <t>Annual Lower</t>
  </si>
  <si>
    <t>Threshold</t>
  </si>
  <si>
    <t>Rate at and below Threshold</t>
  </si>
  <si>
    <t>Rate above Threshold</t>
  </si>
  <si>
    <t>Assets Value Limit per year: min assets for full pension</t>
  </si>
  <si>
    <t>Minimum Pension Factors (Account-based Pensions)</t>
  </si>
  <si>
    <t>Pensions commenced &gt;= 1/1/2010</t>
  </si>
  <si>
    <t>Pensions commenced &lt; 1/1/2010</t>
  </si>
  <si>
    <t>Wealth</t>
  </si>
  <si>
    <t>Indexation</t>
  </si>
  <si>
    <t>Growth</t>
  </si>
  <si>
    <t>Defensive</t>
  </si>
  <si>
    <t>Stochastic Mortality and deterministic investments</t>
  </si>
  <si>
    <t>Household details</t>
  </si>
  <si>
    <t>Non Super Assets</t>
  </si>
  <si>
    <t>Other Income Sources</t>
  </si>
  <si>
    <t>Superannuation Information</t>
  </si>
  <si>
    <t xml:space="preserve"> Long Term Superannuation Investment Strategy</t>
  </si>
  <si>
    <t>Advanced inputs (click to expand on screen)</t>
  </si>
  <si>
    <t>Deemable</t>
  </si>
  <si>
    <t>Deemed Income</t>
  </si>
  <si>
    <t>Assessable</t>
  </si>
  <si>
    <t>Max</t>
  </si>
  <si>
    <t>Year/Proportion</t>
  </si>
  <si>
    <t>Fees and charges:</t>
  </si>
  <si>
    <t>CPI</t>
  </si>
  <si>
    <t>Deflator</t>
  </si>
  <si>
    <t>RN</t>
  </si>
  <si>
    <t>DA</t>
  </si>
  <si>
    <t>Test Simulation Number</t>
  </si>
  <si>
    <t>Which Table</t>
  </si>
  <si>
    <t>1 = 05-07, 2 = 10-12</t>
  </si>
  <si>
    <t>NS Rental</t>
  </si>
  <si>
    <t>Deeming</t>
  </si>
  <si>
    <t>Rate Change</t>
  </si>
  <si>
    <t>female</t>
  </si>
  <si>
    <t>PensPmt</t>
  </si>
  <si>
    <t>Starting Mortality Row</t>
  </si>
  <si>
    <t>Starting Returns Row</t>
  </si>
  <si>
    <t>Cashflow: Real</t>
  </si>
  <si>
    <t>Cashflow:Nominal</t>
  </si>
  <si>
    <t>Pmt</t>
  </si>
  <si>
    <t>Funnel of Doubt Percentiles</t>
  </si>
  <si>
    <t>Upper</t>
  </si>
  <si>
    <t>Lower</t>
  </si>
  <si>
    <t>Income Test Limits</t>
  </si>
  <si>
    <t>Asset Test Limits</t>
  </si>
  <si>
    <t>Age Pension Rates</t>
  </si>
  <si>
    <t>Non-homeowner</t>
  </si>
  <si>
    <t>Testing?</t>
  </si>
  <si>
    <t>Number of Life Annuities</t>
  </si>
  <si>
    <t>Number of Term Annuities</t>
  </si>
  <si>
    <t>Financial investments</t>
  </si>
  <si>
    <t>Investment property</t>
  </si>
  <si>
    <t>Custom settings:  Fixed market scenario assumptions</t>
  </si>
  <si>
    <t>Inflation (CPI)</t>
  </si>
  <si>
    <t>Service fee</t>
  </si>
  <si>
    <t>Platform / admin / adviser fees (p.a.)</t>
  </si>
  <si>
    <t>Age Pension</t>
  </si>
  <si>
    <t>Residual Capital Value RCV%</t>
  </si>
  <si>
    <t>ABP</t>
  </si>
  <si>
    <t>Pensions &amp; Annuities = Person 1</t>
  </si>
  <si>
    <t>Term Annuity 1</t>
  </si>
  <si>
    <t>Term Annuity 2</t>
  </si>
  <si>
    <t>Lifetime Annuity 1</t>
  </si>
  <si>
    <t>Lifetime Annuity 2</t>
  </si>
  <si>
    <t>Death CV</t>
  </si>
  <si>
    <t>These settings were last updated on:</t>
  </si>
  <si>
    <t>Annuity Settings</t>
  </si>
  <si>
    <t>Deterministic 10 Year Bond Rate</t>
  </si>
  <si>
    <t>AWOTE</t>
  </si>
  <si>
    <t xml:space="preserve">Calculation Date </t>
  </si>
  <si>
    <t>Income required in year 1</t>
  </si>
  <si>
    <t xml:space="preserve">Growth </t>
  </si>
  <si>
    <t xml:space="preserve">Defensive </t>
  </si>
  <si>
    <t>Other Assets</t>
  </si>
  <si>
    <t>Rental income</t>
  </si>
  <si>
    <t>Payment frequency</t>
  </si>
  <si>
    <t>Withdrawal guarantee %</t>
  </si>
  <si>
    <t>Overall platform fee %</t>
  </si>
  <si>
    <t>Other assets</t>
  </si>
  <si>
    <t>Financial investments (incl deprived assets)</t>
  </si>
  <si>
    <t>Rental income growth</t>
  </si>
  <si>
    <t>Other income growth</t>
  </si>
  <si>
    <t>Assessable employment income growth</t>
  </si>
  <si>
    <t>fixed fee</t>
  </si>
  <si>
    <t>Years for deferred increase</t>
  </si>
  <si>
    <t>Partial indexation adjustment (x)</t>
  </si>
  <si>
    <t>AWOTE Benchmark</t>
  </si>
  <si>
    <t>Single proportion of Couple</t>
  </si>
  <si>
    <t>Base year AWOTE</t>
  </si>
  <si>
    <t>Annualised AWOTE*</t>
  </si>
  <si>
    <t>Age pension</t>
  </si>
  <si>
    <t>Lifetime annuity</t>
  </si>
  <si>
    <t>Term annuity</t>
  </si>
  <si>
    <t>Account-based pension</t>
  </si>
  <si>
    <t>Other income</t>
  </si>
  <si>
    <t>Wealth Graph</t>
  </si>
  <si>
    <t>Income Graph</t>
  </si>
  <si>
    <t>Total Wealth</t>
  </si>
  <si>
    <t>(for partial indexation of life annuity payments)</t>
  </si>
  <si>
    <t>Life annuity Death Commutation Value (x)</t>
  </si>
  <si>
    <t>Adviser service fee - upfront $</t>
  </si>
  <si>
    <t>Adviser service fee - ongoing $</t>
  </si>
  <si>
    <t>Inflator</t>
  </si>
  <si>
    <t>Non-super</t>
  </si>
  <si>
    <t>RCV</t>
  </si>
  <si>
    <t>Pensions &amp; Annuities = Person 2</t>
  </si>
  <si>
    <t>Work Bonus</t>
  </si>
  <si>
    <t>Max yearly bonus</t>
  </si>
  <si>
    <t>Maximum balance</t>
  </si>
  <si>
    <t>i.e. $250 p/f x 26</t>
  </si>
  <si>
    <t>Payment</t>
  </si>
  <si>
    <t>Total Real Income</t>
  </si>
  <si>
    <t>Personal assets</t>
  </si>
  <si>
    <t>NS Financial Investment</t>
  </si>
  <si>
    <t>NS Other Assets</t>
  </si>
  <si>
    <t>Asset Test</t>
  </si>
  <si>
    <t>Initial payment:</t>
  </si>
  <si>
    <t>Indexation:</t>
  </si>
  <si>
    <t>Bond Yield</t>
  </si>
  <si>
    <t>15 Year Bond Rate at Commencement (for BM)</t>
  </si>
  <si>
    <t>Margin</t>
  </si>
  <si>
    <t>Withdrawal guarantee</t>
  </si>
  <si>
    <t>BM</t>
  </si>
  <si>
    <t>Cashflow</t>
  </si>
  <si>
    <t>Annuities (total purchsae price)</t>
  </si>
  <si>
    <t>gross implicit yield</t>
  </si>
  <si>
    <t>Is CommInsure?</t>
  </si>
  <si>
    <t>Financial Assets</t>
  </si>
  <si>
    <t>Investment Property</t>
  </si>
  <si>
    <t>Growth (nominal)</t>
  </si>
  <si>
    <t>Income growth</t>
  </si>
  <si>
    <t>n/a</t>
  </si>
  <si>
    <t>Income (yield)</t>
  </si>
  <si>
    <t>Total Super assets</t>
  </si>
  <si>
    <t>Income management decision</t>
  </si>
  <si>
    <t>Challenger Liquid Lifetime:</t>
  </si>
  <si>
    <t>CommInsure Lifestream Annuities:</t>
  </si>
  <si>
    <t>Challenger Guaranteed Term Annuity:</t>
  </si>
  <si>
    <t>CommInsure Lifestream Term Annuity:</t>
  </si>
  <si>
    <t>Maximum income:</t>
  </si>
  <si>
    <t>Adviser service fee - upfront %</t>
  </si>
  <si>
    <t>Adviser service fee - ongoing %</t>
  </si>
  <si>
    <t>Type of Deterministic Investment Returns (Super)</t>
  </si>
  <si>
    <t>Historic series or Fixed input from user</t>
  </si>
  <si>
    <t>Target Income</t>
  </si>
  <si>
    <t>Other income (New! perpetuity income per annum)</t>
  </si>
  <si>
    <t>ABP balance</t>
  </si>
  <si>
    <t>Relevant Number</t>
  </si>
  <si>
    <t>Adjusted discount</t>
  </si>
  <si>
    <t>deemed</t>
  </si>
  <si>
    <t>drawings</t>
  </si>
  <si>
    <t xml:space="preserve"> (at start year)</t>
  </si>
  <si>
    <t>Voluntary CV</t>
  </si>
  <si>
    <t>ABP Asset Allocation</t>
  </si>
  <si>
    <t>Non-super Asset Allocation</t>
  </si>
  <si>
    <t>This payment is fixed in real terms</t>
  </si>
  <si>
    <t>When the inflation immunisation is active</t>
  </si>
  <si>
    <t>the real payment increases.</t>
  </si>
  <si>
    <t>Once it has reached the "pre-negative event" level, the fully indexed payment takes over</t>
  </si>
  <si>
    <t>This real payment then begins to decrease as the CPI increases</t>
  </si>
  <si>
    <t>Nominal discount</t>
  </si>
  <si>
    <t>rate (Vol.)</t>
  </si>
  <si>
    <t>rate (Death)</t>
  </si>
  <si>
    <t>% life annuity CommInsure</t>
  </si>
  <si>
    <t>%term annuity CommInsure</t>
  </si>
  <si>
    <t>Layering income year 1:</t>
  </si>
  <si>
    <t>Lifetime CFG</t>
  </si>
  <si>
    <t>%life annuity CFG</t>
  </si>
  <si>
    <t>%term annuity CFG</t>
  </si>
  <si>
    <t>Lifetime CommInsure</t>
  </si>
  <si>
    <t>Term CFG</t>
  </si>
  <si>
    <t>Term CommInsure</t>
  </si>
  <si>
    <t>Fixed market scenario assumptions:</t>
  </si>
  <si>
    <t>Balances</t>
  </si>
  <si>
    <t>New Lifetime Annuities:</t>
  </si>
  <si>
    <t>New Term Annuitites:</t>
  </si>
  <si>
    <t>%ABP</t>
  </si>
  <si>
    <t>Investment Income</t>
  </si>
  <si>
    <t>Employment</t>
  </si>
  <si>
    <t>income</t>
  </si>
  <si>
    <t>Sources</t>
  </si>
  <si>
    <t>Deeming Rate</t>
  </si>
  <si>
    <t>Annual Payment  Amount</t>
  </si>
  <si>
    <t>TargetIncome Input</t>
  </si>
  <si>
    <t>Other Income (Employment income)</t>
  </si>
  <si>
    <t>Challenger Lifetime Annuity Guarantee Period  (x)</t>
  </si>
  <si>
    <t>CommInsure Minimum Payment Period</t>
  </si>
  <si>
    <t>Include annuities in platform fee?</t>
  </si>
  <si>
    <t>Growth  amc</t>
  </si>
  <si>
    <t>Defensive amc</t>
  </si>
  <si>
    <t>Total ABP</t>
  </si>
  <si>
    <t>ABP Return</t>
  </si>
  <si>
    <t>Income Test result</t>
  </si>
  <si>
    <t>Asset Test result</t>
  </si>
  <si>
    <t>Minumum Income:</t>
  </si>
  <si>
    <t>Saved input forms location:</t>
  </si>
  <si>
    <t>For Retirement Income Calculator:</t>
  </si>
  <si>
    <t>L:\Bendzulla\SMSF\Future product development\PENSION HEALTH CHECK\Test Cases - RIC</t>
  </si>
  <si>
    <t>Earning rate (AGER)</t>
  </si>
  <si>
    <t>Voluntary</t>
  </si>
  <si>
    <t>ABP Fee</t>
  </si>
  <si>
    <t>B.o.y</t>
  </si>
  <si>
    <t>New balances at end of year (real)</t>
  </si>
  <si>
    <t>Indexation Adjusted Disc. Rate</t>
  </si>
  <si>
    <t>(start of year)</t>
  </si>
  <si>
    <t>(during year)</t>
  </si>
  <si>
    <t>Term remaining (b.o.y)</t>
  </si>
  <si>
    <t>Indexation adjusted disc.</t>
  </si>
  <si>
    <t>(end of year)</t>
  </si>
  <si>
    <t>Term Annuity</t>
  </si>
  <si>
    <t>Lifetime Annuity</t>
  </si>
  <si>
    <t xml:space="preserve">Challenger </t>
  </si>
  <si>
    <t>CommInsure</t>
  </si>
  <si>
    <t>Commutation value calcs: Loadings to discount rate for Admin Fee:</t>
  </si>
  <si>
    <t xml:space="preserve">Total Annuity </t>
  </si>
  <si>
    <t>Cumulative Age Pension</t>
  </si>
  <si>
    <t>Term Annuities Deemed?</t>
  </si>
  <si>
    <t>Life Annuities Deemed?</t>
  </si>
  <si>
    <t>NS yields + external income</t>
  </si>
  <si>
    <t>Dollar value (s.o.y)</t>
  </si>
  <si>
    <t>Annual Percentage</t>
  </si>
  <si>
    <t>15yr bond rate</t>
  </si>
  <si>
    <t>Rates</t>
  </si>
  <si>
    <t>NS Income</t>
  </si>
  <si>
    <t>Yield</t>
  </si>
  <si>
    <t>Income Requirements</t>
  </si>
  <si>
    <t>New account-based pensions:</t>
  </si>
  <si>
    <t>Total Commutation Value s.o.y</t>
  </si>
  <si>
    <t>Death</t>
  </si>
  <si>
    <t>Total Annuity</t>
  </si>
  <si>
    <t>Pmt (during yr)</t>
  </si>
  <si>
    <t>Purchase Price (net of upfront adviser fee)</t>
  </si>
  <si>
    <t>Purchase Price</t>
  </si>
  <si>
    <t>Investments</t>
  </si>
  <si>
    <t>N-S Financial</t>
  </si>
  <si>
    <t>Value</t>
  </si>
  <si>
    <t>b.o.y</t>
  </si>
  <si>
    <t>Balance beg. of year</t>
  </si>
  <si>
    <t>If false, then current rules apply (deemed if term is 5 years or less)</t>
  </si>
  <si>
    <t>(non-deemed)</t>
  </si>
  <si>
    <t>C'link assble income</t>
  </si>
  <si>
    <t>deeming test</t>
  </si>
  <si>
    <t>Asset values for</t>
  </si>
  <si>
    <t>Annuity Totals (all annuities for the household)</t>
  </si>
  <si>
    <t>Total Death CVs</t>
  </si>
  <si>
    <t>year 1</t>
  </si>
  <si>
    <t>Total Voluntary CVs</t>
  </si>
  <si>
    <t xml:space="preserve">Total assessable </t>
  </si>
  <si>
    <t>income non-deemed y1</t>
  </si>
  <si>
    <t>see above</t>
  </si>
  <si>
    <t xml:space="preserve">Total assets for </t>
  </si>
  <si>
    <t>deeming y1</t>
  </si>
  <si>
    <t>Year 1</t>
  </si>
  <si>
    <t>Check:</t>
  </si>
  <si>
    <t>person 1</t>
  </si>
  <si>
    <t>person 2</t>
  </si>
  <si>
    <t xml:space="preserve">Total Asset </t>
  </si>
  <si>
    <t>Test value</t>
  </si>
  <si>
    <t xml:space="preserve">Total </t>
  </si>
  <si>
    <t>Annuity p'ments</t>
  </si>
  <si>
    <t>Platform Fee</t>
  </si>
  <si>
    <t>For ABP this is simply added to growth/defensive fees below, for annuities see next input</t>
  </si>
  <si>
    <t>Deeming toggle on?</t>
  </si>
  <si>
    <t>Asset test values summary (year 1)</t>
  </si>
  <si>
    <t>Gross Cash</t>
  </si>
  <si>
    <t>Assess. Annuit/ABP</t>
  </si>
  <si>
    <r>
      <rPr>
        <sz val="12"/>
        <color theme="1"/>
        <rFont val="Calibri"/>
        <family val="2"/>
        <scheme val="minor"/>
      </rPr>
      <t xml:space="preserve">Income </t>
    </r>
    <r>
      <rPr>
        <i/>
        <sz val="12"/>
        <color theme="1"/>
        <rFont val="Calibri"/>
        <family val="2"/>
        <scheme val="minor"/>
      </rPr>
      <t>Excl Deemed</t>
    </r>
  </si>
  <si>
    <t>years</t>
  </si>
  <si>
    <t>Totals Quick</t>
  </si>
  <si>
    <t>Total assessable</t>
  </si>
  <si>
    <t>RCV (during yr)</t>
  </si>
  <si>
    <t>Income Management Decision</t>
  </si>
  <si>
    <t>Simulation:</t>
  </si>
  <si>
    <t>Calculation breakdown for simulation performed…</t>
  </si>
  <si>
    <t>Employment Income</t>
  </si>
  <si>
    <t>ABP Return less</t>
  </si>
  <si>
    <t>fixed fee &amp; annuity fee</t>
  </si>
  <si>
    <t xml:space="preserve">N.S. Financial </t>
  </si>
  <si>
    <t>Prop</t>
  </si>
  <si>
    <t>Financial</t>
  </si>
  <si>
    <t>Personal</t>
  </si>
  <si>
    <t>Quick checks:</t>
  </si>
  <si>
    <t>Weighted Avge</t>
  </si>
  <si>
    <t>Super Return</t>
  </si>
  <si>
    <t>Payments</t>
  </si>
  <si>
    <t>Used P1</t>
  </si>
  <si>
    <t>Used P2</t>
  </si>
  <si>
    <t>Max work bonus each year $6,500</t>
  </si>
  <si>
    <t>Unused P1</t>
  </si>
  <si>
    <t>Unused P2</t>
  </si>
  <si>
    <t>\\sharepoint\projects\Retirementincomecalculatorrebuild\Documents\Spreadsheet\Test Cases</t>
  </si>
  <si>
    <t>Flat File name:</t>
  </si>
  <si>
    <t>Flat File location:</t>
  </si>
  <si>
    <t>If the flat file location is blank it defaults to the same folder as this workbook.</t>
  </si>
  <si>
    <t>If the flat file name is blank it defaults to "HealthCheck FlatFiles.xlsx".</t>
  </si>
  <si>
    <t>HealthCheck FlatFiles.xlsx</t>
  </si>
  <si>
    <t>\\sharepoint\projects\Retirementincomecalculatorrebuild\Documents\Spreadsheet\</t>
  </si>
  <si>
    <t>L:\Bendzulla\SMSF\Future product development\PENSION HEALTH CHECK\calculator data</t>
  </si>
  <si>
    <t>This is the assessable rental income for Age Pension purposes.</t>
  </si>
  <si>
    <t>gross of fee</t>
  </si>
  <si>
    <t>net of fee</t>
  </si>
  <si>
    <t>Reduced Total</t>
  </si>
  <si>
    <t xml:space="preserve"> Employment Income</t>
  </si>
  <si>
    <t>Mortality Table Aus Life Tables 2010-2012</t>
  </si>
  <si>
    <t>http://aga.gov.au/publications/life_table_2010-12/default.asp</t>
  </si>
  <si>
    <t>Relevant Numbers: Life-expectancy for products starting on or after 1-January 2015</t>
  </si>
  <si>
    <t>Pensions commenced &gt;= 1/1/15</t>
  </si>
  <si>
    <t>Indexed annually with CPI?</t>
  </si>
  <si>
    <t>Life Annuitites</t>
  </si>
  <si>
    <t>Term Annuities</t>
  </si>
  <si>
    <t>Annuity ongoing fees indexed with CPI?</t>
  </si>
  <si>
    <t>Advisor Fees</t>
  </si>
  <si>
    <t>Deterministic Random:</t>
  </si>
  <si>
    <t>X axis age</t>
  </si>
  <si>
    <t>P1Age</t>
  </si>
  <si>
    <t>P2Age</t>
  </si>
  <si>
    <t>AnnuityType</t>
  </si>
  <si>
    <t>AnniutyType</t>
  </si>
  <si>
    <t xml:space="preserve">Advisor </t>
  </si>
  <si>
    <t>Fee</t>
  </si>
  <si>
    <t>Nominal</t>
  </si>
  <si>
    <t>Platform Fee inputs</t>
  </si>
  <si>
    <t>Amount</t>
  </si>
  <si>
    <t>Real</t>
  </si>
  <si>
    <t>Lifetime Annuity 3</t>
  </si>
  <si>
    <t>Life platform fee</t>
  </si>
  <si>
    <t>term platform fee</t>
  </si>
  <si>
    <t>%life annuity II CFG</t>
  </si>
  <si>
    <t>Lifetime II CFG</t>
  </si>
  <si>
    <t>Nil</t>
  </si>
  <si>
    <t>Initial yearly payment (monthly frequency)</t>
  </si>
  <si>
    <t>Rate</t>
  </si>
  <si>
    <t>Monthly</t>
  </si>
  <si>
    <t>Rent</t>
  </si>
  <si>
    <t xml:space="preserve">Sex  </t>
  </si>
  <si>
    <t xml:space="preserve">Date of birth  </t>
  </si>
  <si>
    <t xml:space="preserve">Other assets  </t>
  </si>
  <si>
    <t> </t>
  </si>
  <si>
    <t xml:space="preserve">Indexation </t>
  </si>
  <si>
    <t xml:space="preserve">Include annuities in platform fee? </t>
  </si>
  <si>
    <t xml:space="preserve">Capital value chart projection basis: </t>
  </si>
  <si>
    <t xml:space="preserve">Pension payments: </t>
  </si>
  <si>
    <t xml:space="preserve">Total Defensive fees: </t>
  </si>
  <si>
    <t xml:space="preserve">Total Growth fees: </t>
  </si>
  <si>
    <t>Super min. %</t>
  </si>
  <si>
    <t>Commutation valuation basis</t>
  </si>
  <si>
    <t>Sex</t>
  </si>
  <si>
    <t>From Age</t>
  </si>
  <si>
    <t>Pension Minimums</t>
  </si>
  <si>
    <t>TOTAL PF</t>
  </si>
  <si>
    <t>Min Supplement couple</t>
  </si>
  <si>
    <t>Pension Amount</t>
  </si>
  <si>
    <t>Min</t>
  </si>
  <si>
    <t>MBR pf</t>
  </si>
  <si>
    <t>AWOTE pf</t>
  </si>
  <si>
    <t>Age Pens (pf)</t>
  </si>
  <si>
    <t>Pens Supp pf</t>
  </si>
  <si>
    <t>Energy Supp pf</t>
  </si>
  <si>
    <t>Pension pa</t>
  </si>
  <si>
    <t>Age Pension pa</t>
  </si>
  <si>
    <t>all real</t>
  </si>
  <si>
    <t>P1 ABP Amount year 1</t>
  </si>
  <si>
    <t>P2 ABP Amount year 1</t>
  </si>
  <si>
    <t>NA</t>
  </si>
  <si>
    <t xml:space="preserve">Other assets total return </t>
  </si>
  <si>
    <t>Lower Deeming Floor</t>
  </si>
  <si>
    <t>Indexing of pensions</t>
  </si>
  <si>
    <t>Max Energy Supplement</t>
  </si>
  <si>
    <t>Pension Rates, per fortnight</t>
  </si>
  <si>
    <t>* Uses standard working week of 5 days and assumes ordinary working year 220 days</t>
  </si>
  <si>
    <t>AWOTE in base year of RIC simulation (as at Nov 2014, ABS Cat. No. 6302.0 - Male, Full Time, Ordinary Time Earnings )</t>
  </si>
  <si>
    <t>Year 1 optimised ABP drawing level</t>
  </si>
  <si>
    <t>purchase price (less upfront fee where applicable)</t>
  </si>
  <si>
    <t>Challenger II Lifetime</t>
  </si>
  <si>
    <t>CPI Assumption for annuity commutation values</t>
  </si>
  <si>
    <t>Earning Rate</t>
  </si>
  <si>
    <t>Options: No, Yes - apply to reduced purchase price, Yes - apply to commutation values, Yes - commission basis</t>
  </si>
  <si>
    <t>Minimum of 100 simulations required for stochastic funnel of doubt charts</t>
  </si>
  <si>
    <t>Taper Rate</t>
  </si>
  <si>
    <t>New Asset Test Date</t>
  </si>
  <si>
    <t>New Taper Rate</t>
  </si>
  <si>
    <t>New</t>
  </si>
  <si>
    <t>2016/17 year Asset Test calculations</t>
  </si>
  <si>
    <t>Start date of hybrid year</t>
  </si>
  <si>
    <t>Proportion of year under new rules</t>
  </si>
  <si>
    <t>Apportioned entitlement</t>
  </si>
  <si>
    <t>Lower Threshold</t>
  </si>
  <si>
    <t>Old real threshold/taper</t>
  </si>
  <si>
    <t>New real threshold/taper</t>
  </si>
  <si>
    <t>Asset test p.a.</t>
  </si>
  <si>
    <t>Income test p.a.</t>
  </si>
  <si>
    <t>Overall entitlement p.a.</t>
  </si>
  <si>
    <t>2016 portion</t>
  </si>
  <si>
    <t>2017 portion</t>
  </si>
  <si>
    <t>Total work bonus</t>
  </si>
  <si>
    <t>Percentage of Max Age Pension</t>
  </si>
  <si>
    <t>Annuity death benefit changes</t>
  </si>
  <si>
    <t>LE/2 rounding</t>
  </si>
  <si>
    <t>Down</t>
  </si>
  <si>
    <t>Reversionary life expectancy</t>
  </si>
  <si>
    <t>Shortest</t>
  </si>
  <si>
    <t>Liquidity Option</t>
  </si>
  <si>
    <t>Vic Super:</t>
  </si>
  <si>
    <t>Withdrawal Period</t>
  </si>
  <si>
    <t xml:space="preserve"> (withdrawal period - now an input)</t>
  </si>
  <si>
    <t>Withdrawal period</t>
  </si>
  <si>
    <t>VicSuper</t>
  </si>
  <si>
    <t>IRR</t>
  </si>
  <si>
    <t>Withdrwal period</t>
  </si>
  <si>
    <t>Wthd guarantee</t>
  </si>
  <si>
    <t>Wthd period</t>
  </si>
  <si>
    <t>Wthdl guarantee</t>
  </si>
  <si>
    <t>purchase price</t>
  </si>
  <si>
    <t xml:space="preserve"> (less upfront fee where applicable)</t>
  </si>
  <si>
    <t xml:space="preserve">purchase price </t>
  </si>
  <si>
    <t>(less upfront fee where applicable)</t>
  </si>
  <si>
    <t>Purchase price</t>
  </si>
  <si>
    <t>Linear CV</t>
  </si>
  <si>
    <t>PV Current</t>
  </si>
  <si>
    <t>PV IRR</t>
  </si>
  <si>
    <t>Min CV</t>
  </si>
  <si>
    <t>The sheet contains the final scenario that gets read into the VBA code.  DO NOT EDIT.</t>
  </si>
  <si>
    <t>Maintain total target income</t>
  </si>
  <si>
    <t>Relationship status</t>
  </si>
  <si>
    <t xml:space="preserve">Person 1 </t>
  </si>
  <si>
    <t>Personal information</t>
  </si>
  <si>
    <t>Excellent</t>
  </si>
  <si>
    <t>Person 1 Age</t>
  </si>
  <si>
    <t>Person 2 Age</t>
  </si>
  <si>
    <t>Investment</t>
  </si>
  <si>
    <t>Asset allocation</t>
  </si>
  <si>
    <t>Guaranteed income stream to use in strategy</t>
  </si>
  <si>
    <t>GFC shock</t>
  </si>
  <si>
    <t>GFC shock occurs in year</t>
  </si>
  <si>
    <t>Reversionary</t>
  </si>
  <si>
    <t>!</t>
  </si>
  <si>
    <t>Applicable Pension test:</t>
  </si>
  <si>
    <t>Age Pension amount</t>
  </si>
  <si>
    <t>Max Age Pension</t>
  </si>
  <si>
    <t>Total assessable assets:</t>
  </si>
  <si>
    <t>Total assessable income:</t>
  </si>
  <si>
    <t>Assessable Income</t>
  </si>
  <si>
    <t>Pension Test</t>
  </si>
  <si>
    <t>Assessable Assets</t>
  </si>
  <si>
    <t>Poor market</t>
  </si>
  <si>
    <t>Average market</t>
  </si>
  <si>
    <t>Excellent market</t>
  </si>
  <si>
    <t>Capital</t>
  </si>
  <si>
    <t>Full case</t>
  </si>
  <si>
    <t>Row Labels</t>
  </si>
  <si>
    <t>Grand Total</t>
  </si>
  <si>
    <t>Don't forget to select a cell in pivot table &amp; hit refresh in toolbar</t>
  </si>
  <si>
    <t>Pricing to use</t>
  </si>
  <si>
    <t>meets super min ?</t>
  </si>
  <si>
    <t>Lookup</t>
  </si>
  <si>
    <t>Lifetime</t>
  </si>
  <si>
    <t>Non-super (deemed)</t>
  </si>
  <si>
    <t>Type</t>
  </si>
  <si>
    <t>Relevant numbers (for settings dropdown)</t>
  </si>
  <si>
    <t xml:space="preserve">Person 2 </t>
  </si>
  <si>
    <t>Existing ABP</t>
  </si>
  <si>
    <t>Use custom pricing?</t>
  </si>
  <si>
    <t>Enter payment</t>
  </si>
  <si>
    <t>Grandfathered</t>
  </si>
  <si>
    <t>Purchase Price (less commutations)</t>
  </si>
  <si>
    <t>Original purchase price</t>
  </si>
  <si>
    <t>Use</t>
  </si>
  <si>
    <t>Platform /admin /adviser fee (p.a.)</t>
  </si>
  <si>
    <t>Growth investment fee (p.a.)</t>
  </si>
  <si>
    <t>Defensive investment fee (p.a.)</t>
  </si>
  <si>
    <t>Index fee to CPI?</t>
  </si>
  <si>
    <t>Fixed dollar fee (p.a.)</t>
  </si>
  <si>
    <t>Upfront ASF</t>
  </si>
  <si>
    <t>PP less comm</t>
  </si>
  <si>
    <t>Page 2</t>
  </si>
  <si>
    <t>Page 1</t>
  </si>
  <si>
    <t>Page 3</t>
  </si>
  <si>
    <t>Page 4</t>
  </si>
  <si>
    <t>Page 5</t>
  </si>
  <si>
    <t>Page 6</t>
  </si>
  <si>
    <t>Page 7</t>
  </si>
  <si>
    <t>Ongoing ASF</t>
  </si>
  <si>
    <t>Non super (deemed)</t>
  </si>
  <si>
    <t>Non super - deemed</t>
  </si>
  <si>
    <t>Voluntary commutation values used</t>
  </si>
  <si>
    <t>Age Pension Calculator</t>
  </si>
  <si>
    <t>Employment income (per fortnight)</t>
  </si>
  <si>
    <t xml:space="preserve">Remaining years </t>
  </si>
  <si>
    <t xml:space="preserve">Rent per week </t>
  </si>
  <si>
    <t>Account Based Pensions</t>
  </si>
  <si>
    <t>Super portfolio asset allocation</t>
  </si>
  <si>
    <t>Current Portfolio</t>
  </si>
  <si>
    <t>Total required (p.a.)</t>
  </si>
  <si>
    <t>Full Age Pension</t>
  </si>
  <si>
    <t>N/A</t>
  </si>
  <si>
    <t>Age pension eligibility</t>
  </si>
  <si>
    <t>Born start</t>
  </si>
  <si>
    <t>Born finish</t>
  </si>
  <si>
    <t>Eligible</t>
  </si>
  <si>
    <t>Current Age</t>
  </si>
  <si>
    <t xml:space="preserve">Pension entitlements  </t>
  </si>
  <si>
    <t>Year 2</t>
  </si>
  <si>
    <t>Year 3</t>
  </si>
  <si>
    <t>Year 4</t>
  </si>
  <si>
    <t>Year 5</t>
  </si>
  <si>
    <t>Year 6</t>
  </si>
  <si>
    <t>Year 7</t>
  </si>
  <si>
    <t>Year 8</t>
  </si>
  <si>
    <t>Year 9</t>
  </si>
  <si>
    <t>Year 10</t>
  </si>
  <si>
    <t>Year 11</t>
  </si>
  <si>
    <t>Year 12</t>
  </si>
  <si>
    <t>Year 13</t>
  </si>
  <si>
    <t>Year 14</t>
  </si>
  <si>
    <t>Year 15</t>
  </si>
  <si>
    <t>Personal effects and household content</t>
  </si>
  <si>
    <t>For any assistance with the Age Pension Calculator contact Challenger’s Adviser Services team on 1800 621 009.</t>
  </si>
  <si>
    <t>Employment income</t>
  </si>
  <si>
    <t>Per fortnight</t>
  </si>
  <si>
    <t>Per annum</t>
  </si>
  <si>
    <t>Client details</t>
  </si>
  <si>
    <t>Name(s)</t>
  </si>
  <si>
    <t>Homeowner?</t>
  </si>
  <si>
    <t>Eligible for Age Pension</t>
  </si>
  <si>
    <t>Pension eligibility:</t>
  </si>
  <si>
    <t>Fortnightly Age Pension:</t>
  </si>
  <si>
    <t>Maximum Age Pension:</t>
  </si>
  <si>
    <t>Applicable pension test:</t>
  </si>
  <si>
    <t xml:space="preserve">Details of the annuity(s) in the new portfolio are as follows. Additional details are provided in the settings section. </t>
  </si>
  <si>
    <t>Results</t>
  </si>
  <si>
    <t>Pension entitlements</t>
  </si>
  <si>
    <t>Yr 1</t>
  </si>
  <si>
    <t>Yr 2</t>
  </si>
  <si>
    <t>Yr 3</t>
  </si>
  <si>
    <t>Yr 4</t>
  </si>
  <si>
    <t>Yr 5</t>
  </si>
  <si>
    <t>Yr 6</t>
  </si>
  <si>
    <t>Yr 7</t>
  </si>
  <si>
    <t>Yr 8</t>
  </si>
  <si>
    <t>Yr 9</t>
  </si>
  <si>
    <t>Yr 10</t>
  </si>
  <si>
    <t>Yr 11</t>
  </si>
  <si>
    <t>Yr 12</t>
  </si>
  <si>
    <t>Yr 13</t>
  </si>
  <si>
    <t>Yr 14</t>
  </si>
  <si>
    <t>Yr 15</t>
  </si>
  <si>
    <t>Current portfolio - total asset and income values</t>
  </si>
  <si>
    <t>Income (p.a.)</t>
  </si>
  <si>
    <t>Todays dollars</t>
  </si>
  <si>
    <t>Future dollars</t>
  </si>
  <si>
    <t>Current portfolio - Age Pension assessable values</t>
  </si>
  <si>
    <t>Asset value</t>
  </si>
  <si>
    <t>Applicable test</t>
  </si>
  <si>
    <t>New Portfolio</t>
  </si>
  <si>
    <t xml:space="preserve"> assessable Income</t>
  </si>
  <si>
    <t xml:space="preserve"> assessable Asset</t>
  </si>
  <si>
    <t>asset</t>
  </si>
  <si>
    <t xml:space="preserve">Employment </t>
  </si>
  <si>
    <t>Amount counted for Age Pension Income test</t>
  </si>
  <si>
    <t>Future years of employment</t>
  </si>
  <si>
    <t>Wage growth</t>
  </si>
  <si>
    <t>Today's dollars</t>
  </si>
  <si>
    <t>Annuity cashflow with boost (in today's dollars)</t>
  </si>
  <si>
    <t>Annuity cashflow with boost          (today's dollars)</t>
  </si>
  <si>
    <t>Annuity cashflow with boost              (future dollars)</t>
  </si>
  <si>
    <t>F/N Age Pension amount</t>
  </si>
  <si>
    <t>Max F/N Age Pension amount</t>
  </si>
  <si>
    <t>Current portfolio          (today's dollars)</t>
  </si>
  <si>
    <t>New portfolio          (today's dollars)</t>
  </si>
  <si>
    <t>Portfolio strategy outcome</t>
  </si>
  <si>
    <t>Withdrawal G'tee</t>
  </si>
  <si>
    <t xml:space="preserve">Current superannuation portfolio asset allocation </t>
  </si>
  <si>
    <t>M</t>
  </si>
  <si>
    <t>Estimated Age Pension entitlement (current portfolio)</t>
  </si>
  <si>
    <t>Annuity Withdrawal Guarantee values</t>
  </si>
  <si>
    <t>! Minimum investment is $10,000</t>
  </si>
  <si>
    <t xml:space="preserve"> assessable Asset (rounded to $5)</t>
  </si>
  <si>
    <t xml:space="preserve">Inflation settings </t>
  </si>
  <si>
    <t>Consumer Price Index (CPI)</t>
  </si>
  <si>
    <t>Liquidity option</t>
  </si>
  <si>
    <t>Regular income</t>
  </si>
  <si>
    <t>Payment per $100k*</t>
  </si>
  <si>
    <t>* Payments are indicative only. Actual pricing will be as per Challenger quote.</t>
  </si>
  <si>
    <t>Inflation option</t>
  </si>
  <si>
    <t>Upfront Adviser Service Fee</t>
  </si>
  <si>
    <t>Annual Adviser Service Fee</t>
  </si>
  <si>
    <t>Withdrawal Guarantee</t>
  </si>
  <si>
    <t>Withdrawal guarantee period</t>
  </si>
  <si>
    <t>Illustrated investment returns (before fees)</t>
  </si>
  <si>
    <t>Account-based pension fees</t>
  </si>
  <si>
    <t>Account-based pension settings</t>
  </si>
  <si>
    <t>Original purchase price (less commutations)</t>
  </si>
  <si>
    <t>Relevant number</t>
  </si>
  <si>
    <t>Eligibility age</t>
  </si>
  <si>
    <t>Partial</t>
  </si>
  <si>
    <t>Inbuilt pricing Withdrawal Guarantees</t>
  </si>
  <si>
    <t>For inbuilt Pricing</t>
  </si>
  <si>
    <t>Withdrawal Guarantee (Person 2)</t>
  </si>
  <si>
    <t xml:space="preserve"> for $100k investment              (monthly &amp; super money)</t>
  </si>
  <si>
    <t xml:space="preserve"> for $100k investment                     (monthly &amp; super money)</t>
  </si>
  <si>
    <t>Rent growth</t>
  </si>
  <si>
    <t>Property value growth</t>
  </si>
  <si>
    <t>Purchase price                               (less commutations)</t>
  </si>
  <si>
    <t>F</t>
  </si>
  <si>
    <t>Life1_Age</t>
  </si>
  <si>
    <t>Life1_Gender</t>
  </si>
  <si>
    <t>CVWithdrawalRCV</t>
  </si>
  <si>
    <t>IndexationCPISpread</t>
  </si>
  <si>
    <t>InitialCommissionRate</t>
  </si>
  <si>
    <t>YearlyPaymentAmount</t>
  </si>
  <si>
    <t>WG</t>
  </si>
  <si>
    <t>UASF</t>
  </si>
  <si>
    <t>Pricing</t>
  </si>
  <si>
    <t>Payment warning trigger</t>
  </si>
  <si>
    <t>ASFA</t>
  </si>
  <si>
    <t>Comfortable</t>
  </si>
  <si>
    <t>For low payment warning</t>
  </si>
  <si>
    <t>60F0.7-0.020</t>
  </si>
  <si>
    <t>60F0.7-0.020.022</t>
  </si>
  <si>
    <t>60F0.8500</t>
  </si>
  <si>
    <t>60F0.8500.022</t>
  </si>
  <si>
    <t>60M0.7-0.020</t>
  </si>
  <si>
    <t>60M0.7-0.020.022</t>
  </si>
  <si>
    <t>60M0.8500</t>
  </si>
  <si>
    <t>60M0.8500.022</t>
  </si>
  <si>
    <t>61F0.7-0.020</t>
  </si>
  <si>
    <t>61F0.7-0.020.022</t>
  </si>
  <si>
    <t>61F0.8500</t>
  </si>
  <si>
    <t>61F0.8500.022</t>
  </si>
  <si>
    <t>61M0.7-0.020</t>
  </si>
  <si>
    <t>61M0.7-0.020.022</t>
  </si>
  <si>
    <t>61M0.8500</t>
  </si>
  <si>
    <t>61M0.8500.022</t>
  </si>
  <si>
    <t>62F0.7-0.020</t>
  </si>
  <si>
    <t>62F0.7-0.020.022</t>
  </si>
  <si>
    <t>62F0.8500</t>
  </si>
  <si>
    <t>62F0.8500.022</t>
  </si>
  <si>
    <t>62M0.7-0.020</t>
  </si>
  <si>
    <t>62M0.7-0.020.022</t>
  </si>
  <si>
    <t>62M0.8500</t>
  </si>
  <si>
    <t>62M0.8500.022</t>
  </si>
  <si>
    <t>63F0.7-0.020</t>
  </si>
  <si>
    <t>63F0.7-0.020.022</t>
  </si>
  <si>
    <t>63F0.8500</t>
  </si>
  <si>
    <t>63F0.8500.022</t>
  </si>
  <si>
    <t>63M0.7-0.020</t>
  </si>
  <si>
    <t>63M0.7-0.020.022</t>
  </si>
  <si>
    <t>63M0.8500</t>
  </si>
  <si>
    <t>63M0.8500.022</t>
  </si>
  <si>
    <t>64F0.7-0.020</t>
  </si>
  <si>
    <t>64F0.7-0.020.022</t>
  </si>
  <si>
    <t>64F0.8500</t>
  </si>
  <si>
    <t>64F0.8500.022</t>
  </si>
  <si>
    <t>64M0.7-0.020</t>
  </si>
  <si>
    <t>64M0.7-0.020.022</t>
  </si>
  <si>
    <t>64M0.8500</t>
  </si>
  <si>
    <t>64M0.8500.022</t>
  </si>
  <si>
    <t>65F0.6-0.020</t>
  </si>
  <si>
    <t>65F0.6-0.020.022</t>
  </si>
  <si>
    <t>65F0.7500</t>
  </si>
  <si>
    <t>65F0.7500.022</t>
  </si>
  <si>
    <t>65M0.6-0.020</t>
  </si>
  <si>
    <t>65M0.6-0.020.022</t>
  </si>
  <si>
    <t>65M0.7500</t>
  </si>
  <si>
    <t>65M0.7500.022</t>
  </si>
  <si>
    <t>66F0.6-0.020</t>
  </si>
  <si>
    <t>66F0.6-0.020.022</t>
  </si>
  <si>
    <t>66F0.7500</t>
  </si>
  <si>
    <t>66F0.7500.022</t>
  </si>
  <si>
    <t>66M0.6-0.020</t>
  </si>
  <si>
    <t>66M0.6-0.020.022</t>
  </si>
  <si>
    <t>66M0.7500</t>
  </si>
  <si>
    <t>66M0.7500.022</t>
  </si>
  <si>
    <t>67F0.6-0.020</t>
  </si>
  <si>
    <t>67F0.6-0.020.022</t>
  </si>
  <si>
    <t>67F0.7500</t>
  </si>
  <si>
    <t>67F0.7500.022</t>
  </si>
  <si>
    <t>67M0.6-0.020</t>
  </si>
  <si>
    <t>67M0.6-0.020.022</t>
  </si>
  <si>
    <t>67M0.7500</t>
  </si>
  <si>
    <t>67M0.7500.022</t>
  </si>
  <si>
    <t>68F0.6-0.020</t>
  </si>
  <si>
    <t>68F0.6-0.020.022</t>
  </si>
  <si>
    <t>68F0.7500</t>
  </si>
  <si>
    <t>68F0.7500.022</t>
  </si>
  <si>
    <t>68M0.6-0.020</t>
  </si>
  <si>
    <t>68M0.6-0.020.022</t>
  </si>
  <si>
    <t>68M0.7500</t>
  </si>
  <si>
    <t>68M0.7500.022</t>
  </si>
  <si>
    <t>69F0.6-0.020</t>
  </si>
  <si>
    <t>69F0.6-0.020.022</t>
  </si>
  <si>
    <t>69F0.7500</t>
  </si>
  <si>
    <t>69F0.7500.022</t>
  </si>
  <si>
    <t>69M0.6-0.020</t>
  </si>
  <si>
    <t>69M0.6-0.020.022</t>
  </si>
  <si>
    <t>69M0.7500</t>
  </si>
  <si>
    <t>69M0.7500.022</t>
  </si>
  <si>
    <t>70F0.6-0.020</t>
  </si>
  <si>
    <t>70F0.6-0.020.022</t>
  </si>
  <si>
    <t>70F0.7500</t>
  </si>
  <si>
    <t>70F0.7500.022</t>
  </si>
  <si>
    <t>70M0.6-0.020</t>
  </si>
  <si>
    <t>70M0.6-0.020.022</t>
  </si>
  <si>
    <t>70M0.7500</t>
  </si>
  <si>
    <t>70M0.7500.022</t>
  </si>
  <si>
    <t>71F0.6-0.020</t>
  </si>
  <si>
    <t>71F0.6-0.020.022</t>
  </si>
  <si>
    <t>71F0.7500</t>
  </si>
  <si>
    <t>71F0.7500.022</t>
  </si>
  <si>
    <t>71M0.6-0.020</t>
  </si>
  <si>
    <t>71M0.6-0.020.022</t>
  </si>
  <si>
    <t>71M0.7500</t>
  </si>
  <si>
    <t>71M0.7500.022</t>
  </si>
  <si>
    <t>72F0.6-0.020</t>
  </si>
  <si>
    <t>72F0.6-0.020.022</t>
  </si>
  <si>
    <t>72F0.7500</t>
  </si>
  <si>
    <t>72F0.7500.022</t>
  </si>
  <si>
    <t>72M0.6-0.020</t>
  </si>
  <si>
    <t>72M0.6-0.020.022</t>
  </si>
  <si>
    <t>72M0.7500</t>
  </si>
  <si>
    <t>72M0.7500.022</t>
  </si>
  <si>
    <t>73F0.6-0.020</t>
  </si>
  <si>
    <t>73F0.6-0.020.022</t>
  </si>
  <si>
    <t>73F0.7500</t>
  </si>
  <si>
    <t>73F0.7500.022</t>
  </si>
  <si>
    <t>73M0.6-0.020</t>
  </si>
  <si>
    <t>73M0.6-0.020.022</t>
  </si>
  <si>
    <t>73M0.7500</t>
  </si>
  <si>
    <t>73M0.7500.022</t>
  </si>
  <si>
    <t>74F0.6-0.020</t>
  </si>
  <si>
    <t>74F0.6-0.020.022</t>
  </si>
  <si>
    <t>74F0.7500</t>
  </si>
  <si>
    <t>74F0.7500.022</t>
  </si>
  <si>
    <t>74M0.6-0.020</t>
  </si>
  <si>
    <t>74M0.6-0.020.022</t>
  </si>
  <si>
    <t>74M0.7500</t>
  </si>
  <si>
    <t>74M0.7500.022</t>
  </si>
  <si>
    <t>75F0.4-0.020</t>
  </si>
  <si>
    <t>75F0.4-0.020.022</t>
  </si>
  <si>
    <t>75F0.5500</t>
  </si>
  <si>
    <t>75F0.5500.022</t>
  </si>
  <si>
    <t>75M0.4-0.020</t>
  </si>
  <si>
    <t>75M0.4-0.020.022</t>
  </si>
  <si>
    <t>75M0.5500</t>
  </si>
  <si>
    <t>75M0.5500.022</t>
  </si>
  <si>
    <t>76F0.4-0.020</t>
  </si>
  <si>
    <t>76F0.4-0.020.022</t>
  </si>
  <si>
    <t>76F0.5500</t>
  </si>
  <si>
    <t>76F0.5500.022</t>
  </si>
  <si>
    <t>76M0.4-0.020</t>
  </si>
  <si>
    <t>76M0.4-0.020.022</t>
  </si>
  <si>
    <t>76M0.5500</t>
  </si>
  <si>
    <t>76M0.5500.022</t>
  </si>
  <si>
    <t>77F0.4-0.020</t>
  </si>
  <si>
    <t>77F0.4-0.020.022</t>
  </si>
  <si>
    <t>77F0.5500</t>
  </si>
  <si>
    <t>77F0.5500.022</t>
  </si>
  <si>
    <t>77M0.4-0.020</t>
  </si>
  <si>
    <t>77M0.4-0.020.022</t>
  </si>
  <si>
    <t>77M0.5500</t>
  </si>
  <si>
    <t>77M0.5500.022</t>
  </si>
  <si>
    <t>78F0.4-0.020</t>
  </si>
  <si>
    <t>78F0.4-0.020.022</t>
  </si>
  <si>
    <t>78F0.5500</t>
  </si>
  <si>
    <t>78F0.5500.022</t>
  </si>
  <si>
    <t>78M0.4-0.020</t>
  </si>
  <si>
    <t>78M0.4-0.020.022</t>
  </si>
  <si>
    <t>78M0.5500</t>
  </si>
  <si>
    <t>78M0.5500.022</t>
  </si>
  <si>
    <t>79F0.4-0.020</t>
  </si>
  <si>
    <t>79F0.4-0.020.022</t>
  </si>
  <si>
    <t>79F0.5500</t>
  </si>
  <si>
    <t>79F0.5500.022</t>
  </si>
  <si>
    <t>79M0.4-0.020</t>
  </si>
  <si>
    <t>79M0.4-0.020.022</t>
  </si>
  <si>
    <t>79M0.5500</t>
  </si>
  <si>
    <t>79M0.5500.022</t>
  </si>
  <si>
    <t>Sum of YearlyPaymentAmount</t>
  </si>
  <si>
    <t>** if you paste 'more' data than already there (more rows of data than before) will need to extend pivot table too</t>
  </si>
  <si>
    <t>PIVOT TABLE:</t>
  </si>
  <si>
    <t>Age Pension Calculator settings</t>
  </si>
  <si>
    <t>Social security assessment</t>
  </si>
  <si>
    <t xml:space="preserve">Existing income stream? </t>
  </si>
  <si>
    <t>Valid to</t>
  </si>
  <si>
    <t>Test sheet to show</t>
  </si>
  <si>
    <t>Current Payment (p.a)</t>
  </si>
  <si>
    <t>Protection</t>
  </si>
  <si>
    <t>Liquid Lifetime (regular) annuity illustrated</t>
  </si>
  <si>
    <t>Diff</t>
  </si>
  <si>
    <t>Income amount (p.a.)</t>
  </si>
  <si>
    <t>Asset value                                        (end of year)</t>
  </si>
  <si>
    <t>Asset value                             (end of year)</t>
  </si>
  <si>
    <t>Asset value                           (end of year)</t>
  </si>
  <si>
    <t>Asset value                              (end of year)</t>
  </si>
  <si>
    <t>Current payment</t>
  </si>
  <si>
    <t>Defensive:</t>
  </si>
  <si>
    <t>Growth:</t>
  </si>
  <si>
    <t>New (Liquid Lifetime regular income) Portfolio</t>
  </si>
  <si>
    <t>Calcs for payment warning trigger</t>
  </si>
  <si>
    <t>Total super assets</t>
  </si>
  <si>
    <t xml:space="preserve">Total asset returns (P.A.)  </t>
  </si>
  <si>
    <t>Non-superannuation total asset returns (p.a.)</t>
  </si>
  <si>
    <t>Property value</t>
  </si>
  <si>
    <t>Age Pension entitlement</t>
  </si>
  <si>
    <t>Age Pension (year 1)</t>
  </si>
  <si>
    <t xml:space="preserve">* Superannuation minimums may require you to take a higher amount of income </t>
  </si>
  <si>
    <t>Income and assets</t>
  </si>
  <si>
    <t xml:space="preserve">Illustrate money from: </t>
  </si>
  <si>
    <t>Miscellaneous settings</t>
  </si>
  <si>
    <t>Term Deposit / Cash</t>
  </si>
  <si>
    <t>Annuity % held:</t>
  </si>
  <si>
    <t>Use custom annuity allocation?</t>
  </si>
  <si>
    <t>Estimated annual Age Pension</t>
  </si>
  <si>
    <t>Tax payable</t>
  </si>
  <si>
    <t>Current Portfolio (RIC Determerministic Output VicSup)</t>
  </si>
  <si>
    <t>Allocation to Annuity Portfolio (RIC Determerministic Output)</t>
  </si>
  <si>
    <t>Term Deposit /cash</t>
  </si>
  <si>
    <t>Held</t>
  </si>
  <si>
    <t>Portfolio total</t>
  </si>
  <si>
    <t>Split</t>
  </si>
  <si>
    <t>Rebalanced asset allocation</t>
  </si>
  <si>
    <t>ABP Total</t>
  </si>
  <si>
    <t>Plus annuities</t>
  </si>
  <si>
    <t>Asset allocation after annuity included:</t>
  </si>
  <si>
    <t>J = Joint      P1 = Person 1      P2 = Person 2</t>
  </si>
  <si>
    <t>TD/Cash</t>
  </si>
  <si>
    <t>Eligible %</t>
  </si>
  <si>
    <t>Not eligible %</t>
  </si>
  <si>
    <t>For pie chart</t>
  </si>
  <si>
    <t>Pension eligibility</t>
  </si>
  <si>
    <t>Grandfathering</t>
  </si>
  <si>
    <t>Investor ages</t>
  </si>
  <si>
    <t>DOB</t>
  </si>
  <si>
    <t>Frac age</t>
  </si>
  <si>
    <t>Account-Based Pension fees</t>
  </si>
  <si>
    <t>Liquid Lifetime (regular income) settings</t>
  </si>
  <si>
    <t>Term Deposit/cash settings</t>
  </si>
  <si>
    <t>Term Deposit/cash rate</t>
  </si>
  <si>
    <t>Withdrawal Gtee</t>
  </si>
  <si>
    <t>Term (RCV0) settings</t>
  </si>
  <si>
    <t>This section is used for the pie charts and Age Pension entitlements sections</t>
  </si>
  <si>
    <t>Inbuilt</t>
  </si>
  <si>
    <t>Custom</t>
  </si>
  <si>
    <t>Ongoing</t>
  </si>
  <si>
    <t>Term Person 1</t>
  </si>
  <si>
    <t>Term Person 2</t>
  </si>
  <si>
    <t>RCVs (for settings dropdown)</t>
  </si>
  <si>
    <t>Super minimums</t>
  </si>
  <si>
    <t>Earning rate</t>
  </si>
  <si>
    <t xml:space="preserve">Liquid Lifetime </t>
  </si>
  <si>
    <t>Frequency</t>
  </si>
  <si>
    <t xml:space="preserve"> for $100k investment (monthly, super money &amp; before OASF)</t>
  </si>
  <si>
    <t>To Lifetime Annuity</t>
  </si>
  <si>
    <t>Investment amount</t>
  </si>
  <si>
    <t>Pricing per $100k (before ongoing / after UASF)</t>
  </si>
  <si>
    <t>Pricing price per $1 (before ongoing / after UASF)</t>
  </si>
  <si>
    <t>Payment amount for illustration</t>
  </si>
  <si>
    <t>Revesionary</t>
  </si>
  <si>
    <t>Portfolio A</t>
  </si>
  <si>
    <t>Portfolio B</t>
  </si>
  <si>
    <t>New (Liquid Lifetime regular income) portfolio - Portfolio B</t>
  </si>
  <si>
    <t>Existing - Portfolio A</t>
  </si>
  <si>
    <t>Account-based pensions:</t>
  </si>
  <si>
    <t>ABPBalancePerson1</t>
  </si>
  <si>
    <t>ABPBalancePerson2</t>
  </si>
  <si>
    <t>ABPGrandfatheredPaymentPerson1</t>
  </si>
  <si>
    <t>ABPGrandfatheredPaymentPerson2</t>
  </si>
  <si>
    <t>ABPGrandfatheredPerson1</t>
  </si>
  <si>
    <t>ABPGrandfatheredPerson2</t>
  </si>
  <si>
    <t>ABPGrandfatheredPPPerson1</t>
  </si>
  <si>
    <t>ABPGrandfatheredPPPerson2</t>
  </si>
  <si>
    <t>ABPRelevantNumberPerson1</t>
  </si>
  <si>
    <t>ABPRelevantNumberPerson2</t>
  </si>
  <si>
    <t>ABPServiceFee</t>
  </si>
  <si>
    <t>ABPServiceFeeIndex</t>
  </si>
  <si>
    <t>ChalLLFrequencyPerson1</t>
  </si>
  <si>
    <t>ChalLLFrequencyPerson2</t>
  </si>
  <si>
    <t>ChalLLIndexationPerson1</t>
  </si>
  <si>
    <t>ChalLLIndexationPerson2</t>
  </si>
  <si>
    <t>ChalLLOngoingASFPerson1</t>
  </si>
  <si>
    <t>ChalLLOngoingASFPerson2</t>
  </si>
  <si>
    <t>ChalLLPaymentPerson1</t>
  </si>
  <si>
    <t>ChalLLPaymentPerson2</t>
  </si>
  <si>
    <t>ChalLLPurchasePricePerson1</t>
  </si>
  <si>
    <t>ChalLLReversionaryPerson1</t>
  </si>
  <si>
    <t>ChalLLReversionaryPerson2</t>
  </si>
  <si>
    <t>ChalLLUpfrontASFPerson2</t>
  </si>
  <si>
    <t>ChalLLWithdrawalGteePerson1</t>
  </si>
  <si>
    <t>ChalLLWithdrawalPeriodPerson1</t>
  </si>
  <si>
    <t>ChalLLWithdrawalPeriodPerson2</t>
  </si>
  <si>
    <t>ChalTermAGERPerson1</t>
  </si>
  <si>
    <t>ChalTermAGERPerson2</t>
  </si>
  <si>
    <t>ChalTermFrequencyPerson1</t>
  </si>
  <si>
    <t>ChalTermFrequencyPerson2</t>
  </si>
  <si>
    <t>ChalTermIndexationPerson1</t>
  </si>
  <si>
    <t>ChalTermIndexationPerson2</t>
  </si>
  <si>
    <t>ChalTermOngoingASFPerson1</t>
  </si>
  <si>
    <t>ChalTermOngoingASFPerson2</t>
  </si>
  <si>
    <t>ChalTermPaymentPerson1</t>
  </si>
  <si>
    <t>ChalTermPurchasePricePerson1</t>
  </si>
  <si>
    <t>ChalTermPurchasePricePerson2</t>
  </si>
  <si>
    <t>ChalTermRCVPerson1</t>
  </si>
  <si>
    <t>ChalTermRCVPerson2</t>
  </si>
  <si>
    <t>ChalTermReversionaryPerson1</t>
  </si>
  <si>
    <t>ChalTermReversionaryPerson2</t>
  </si>
  <si>
    <t>ChalTermTermPerson1</t>
  </si>
  <si>
    <t>ChalTermTermPerson2</t>
  </si>
  <si>
    <t>ChalTermUpfrontASFPerson1</t>
  </si>
  <si>
    <t>ChalTermUpfrontASFPerson2</t>
  </si>
  <si>
    <t>CILifetimeFrequencyPerson1</t>
  </si>
  <si>
    <t>CILifetimeFrequencyPerson2</t>
  </si>
  <si>
    <t>CILifetimeIndexationPerson1</t>
  </si>
  <si>
    <t>CILIfetimeIndexationPerson2</t>
  </si>
  <si>
    <t>CILifetimeOASFDolPerson1</t>
  </si>
  <si>
    <t>CILifetimeOASFDolPerson2</t>
  </si>
  <si>
    <t>CILifetimeOASFPercPerson1</t>
  </si>
  <si>
    <t>CILifetimeOASFPercPerson2</t>
  </si>
  <si>
    <t>CILifetimePaymentPeriodPerson1</t>
  </si>
  <si>
    <t>CILifetimePaymentPeriodPerson2</t>
  </si>
  <si>
    <t>CILifetimePaymentPerson1</t>
  </si>
  <si>
    <t>CILifetimePaymentPerson2</t>
  </si>
  <si>
    <t>CILifetimePurchasePricePerson1</t>
  </si>
  <si>
    <t>CILifetimePurchasePricePerson2</t>
  </si>
  <si>
    <t>CILifetimeReversionaryPerson1</t>
  </si>
  <si>
    <t>CILifetimeReversionaryPerson2</t>
  </si>
  <si>
    <t>CILifetimeUASFDolPerson1</t>
  </si>
  <si>
    <t>CILifetimeUASFDolPerson2</t>
  </si>
  <si>
    <t>CILifetimeUASFPercPerson1</t>
  </si>
  <si>
    <t>CILifetimeUASFPercPerson2</t>
  </si>
  <si>
    <t>CITermAGERPerson2</t>
  </si>
  <si>
    <t>CITermFrequencyPerson1</t>
  </si>
  <si>
    <t>CITermFrequencyPerson2</t>
  </si>
  <si>
    <t>CITermIndexationPerson1</t>
  </si>
  <si>
    <t>CITermIndexationPerson2</t>
  </si>
  <si>
    <t>CITermOngoingASFDolPerson1</t>
  </si>
  <si>
    <t>CITermOngoingASFDolPerson2</t>
  </si>
  <si>
    <t>CITermOngoingASFPercPerson1</t>
  </si>
  <si>
    <t>CITermOngoingASFPercPerson2</t>
  </si>
  <si>
    <t>CITermPaymentPerson2</t>
  </si>
  <si>
    <t>CITermPurchasePricePerson1</t>
  </si>
  <si>
    <t>CITermPurchasePricePerson2</t>
  </si>
  <si>
    <t>CITermRCVPerson1</t>
  </si>
  <si>
    <t>CITermRCVPerson2</t>
  </si>
  <si>
    <t>CITermReversionaryPerson1</t>
  </si>
  <si>
    <t>CITermReversionaryPerson2</t>
  </si>
  <si>
    <t>CITermTermPerson1</t>
  </si>
  <si>
    <t>CITermTermPerson2</t>
  </si>
  <si>
    <t>CITermUpfrontASFDolPerson1</t>
  </si>
  <si>
    <t>CITermUpfrontASFDolPerson2</t>
  </si>
  <si>
    <t>CITermUpfrontASFPercPerson1</t>
  </si>
  <si>
    <t>CITermUpfrontASFPercPerson2</t>
  </si>
  <si>
    <t>DefensiveAllocation</t>
  </si>
  <si>
    <t>DefensiveInvFee</t>
  </si>
  <si>
    <t>DOBPerson1</t>
  </si>
  <si>
    <t>DOBPerson2</t>
  </si>
  <si>
    <t>EmployIncomePerson1</t>
  </si>
  <si>
    <t>EmployIncomeRemainingYrsPerson1</t>
  </si>
  <si>
    <t>FinancialInvestmentsDeemed</t>
  </si>
  <si>
    <t>FinancialInvestmentsReturns</t>
  </si>
  <si>
    <t>FixedAWOTE</t>
  </si>
  <si>
    <t>FixedCPI</t>
  </si>
  <si>
    <t>FixedDefensiveReturn</t>
  </si>
  <si>
    <t>FixedGrowthReturn</t>
  </si>
  <si>
    <t>GrowthAllocation</t>
  </si>
  <si>
    <t>GrowthInvFee</t>
  </si>
  <si>
    <t>HomeownerStatus</t>
  </si>
  <si>
    <t>IFundLifetimeFrequencyPerson1</t>
  </si>
  <si>
    <t>IFundLifetimeFrequencyPerson2</t>
  </si>
  <si>
    <t>IFundLifetimeIndexationPerson1</t>
  </si>
  <si>
    <t>IFundLifetimeIndexationPerson2</t>
  </si>
  <si>
    <t>IFundLifetimeOngoingASFPerson2</t>
  </si>
  <si>
    <t>IFundLifetimePaymentPerson1</t>
  </si>
  <si>
    <t>IFundLifetimePaymentPerson2</t>
  </si>
  <si>
    <t>IFundLifetimePurchasePricePerson1</t>
  </si>
  <si>
    <t>IFundLIfetimePurchasePricePerson2</t>
  </si>
  <si>
    <t>IFundLifetimeReversionaryPerson1</t>
  </si>
  <si>
    <t>IFundLifetimeReversionaryPerson2</t>
  </si>
  <si>
    <t>IFundLifetimeUpfrontASFPerson1</t>
  </si>
  <si>
    <t>IFundLIfetimeUpfrontASFPerson2</t>
  </si>
  <si>
    <t>IFundLifetimeWithdrawalGteePerson1</t>
  </si>
  <si>
    <t>IFundLifetimeWithdrawalGteePerson2</t>
  </si>
  <si>
    <t>IFundLifetimeWithdrawalPeriodPerson1</t>
  </si>
  <si>
    <t>IFundLifetimeWithdrawalPeriodPerson2</t>
  </si>
  <si>
    <t>IncomeMgt</t>
  </si>
  <si>
    <t>InvestmentProperty</t>
  </si>
  <si>
    <t>InvestPropertyGrowth</t>
  </si>
  <si>
    <t>OtherAssetsReturn</t>
  </si>
  <si>
    <t>OtherIncomePerson1</t>
  </si>
  <si>
    <t>OtherIncomePerson2</t>
  </si>
  <si>
    <t>PersonalAssetsReturn</t>
  </si>
  <si>
    <t>PlatformFeePerc</t>
  </si>
  <si>
    <t>RentalIncomeGrowth</t>
  </si>
  <si>
    <t>RentIncome</t>
  </si>
  <si>
    <t>ReqIncomeYr1</t>
  </si>
  <si>
    <t>SexPerson1</t>
  </si>
  <si>
    <t>SexPerson2</t>
  </si>
  <si>
    <t>TermAnnuityPlatformFee</t>
  </si>
  <si>
    <t>TermDepositCashReturn</t>
  </si>
  <si>
    <t>ChalLLiquidityOptionPerson1</t>
  </si>
  <si>
    <t>ChalLLiquidityOptionPerson2</t>
  </si>
  <si>
    <t>ChalLLPurchasePricePerson2</t>
  </si>
  <si>
    <t>ChalLLUpfrontASFPerson1</t>
  </si>
  <si>
    <t>ChalLLWithdrawalGteePerson2</t>
  </si>
  <si>
    <t>ChalTermPaymentPerson2</t>
  </si>
  <si>
    <t>CITermAGERPerson1</t>
  </si>
  <si>
    <t>CITermPaymentPerson1</t>
  </si>
  <si>
    <t>EmployIncomePerson2</t>
  </si>
  <si>
    <t>EmployIncomeRemainingYrsPerson2</t>
  </si>
  <si>
    <t>LifetimeAnnuityPlatformFee</t>
  </si>
  <si>
    <t>OtherIncomeGrowth</t>
  </si>
  <si>
    <t>OtherAssets</t>
  </si>
  <si>
    <t>PersonalAssets</t>
  </si>
  <si>
    <t>ValuationDate</t>
  </si>
  <si>
    <t>Defined Names</t>
  </si>
  <si>
    <t>EmploymentIncomeGrowth</t>
  </si>
  <si>
    <t>Fixed</t>
  </si>
  <si>
    <t>IFundLifetimeOngoingASFPerson1</t>
  </si>
  <si>
    <t>Taxation</t>
  </si>
  <si>
    <t xml:space="preserve"> Tax 2016-17</t>
  </si>
  <si>
    <t>Start Year</t>
  </si>
  <si>
    <t>LITO</t>
  </si>
  <si>
    <t>Max Offset</t>
  </si>
  <si>
    <t>Phase-out</t>
  </si>
  <si>
    <t>SAPTO Table</t>
  </si>
  <si>
    <t>Eligibility condition</t>
  </si>
  <si>
    <t>Threshold max tax offset applies</t>
  </si>
  <si>
    <t>Above threshold no longer eligible</t>
  </si>
  <si>
    <t>Maximum tax offset</t>
  </si>
  <si>
    <t>Reduction Rate</t>
  </si>
  <si>
    <t>Medicare Levy</t>
  </si>
  <si>
    <t>SAPTO</t>
  </si>
  <si>
    <t>No SAPTO</t>
  </si>
  <si>
    <t>SAPTO - Lower Threshold</t>
  </si>
  <si>
    <t>SAPTO - Upper Threshold</t>
  </si>
  <si>
    <t>Std - Lower Threshold</t>
  </si>
  <si>
    <t>Std Upper Threshold</t>
  </si>
  <si>
    <t>Family Threshold</t>
  </si>
  <si>
    <t>Deduction amount</t>
  </si>
  <si>
    <t>15yr RPP</t>
  </si>
  <si>
    <t>Taxable component</t>
  </si>
  <si>
    <t>Client  - Couple (with unused)</t>
  </si>
  <si>
    <t>Partner Unused</t>
  </si>
  <si>
    <t>Couple Calc Income</t>
  </si>
  <si>
    <t>Medicare exemption for (Blind or WWP) (Single)</t>
  </si>
  <si>
    <t>Medicare exemption for (Blind or WWP)</t>
  </si>
  <si>
    <t>Combined Taxable Income</t>
  </si>
  <si>
    <t>less lower family limit</t>
  </si>
  <si>
    <t>Amount over family limit</t>
  </si>
  <si>
    <t>Relevant numbers</t>
  </si>
  <si>
    <t>Total taxable income</t>
  </si>
  <si>
    <t>Tax before offsets</t>
  </si>
  <si>
    <t>Illness separated?</t>
  </si>
  <si>
    <t>Couple: Adjusted Rebate Income Threshold</t>
  </si>
  <si>
    <t>Spouse portion</t>
  </si>
  <si>
    <t>Spouse Share of family reduction</t>
  </si>
  <si>
    <t>ML</t>
  </si>
  <si>
    <t>Net tax</t>
  </si>
  <si>
    <t>Total tax</t>
  </si>
  <si>
    <t>SAPTO Entitlement</t>
  </si>
  <si>
    <t>Less family reduction</t>
  </si>
  <si>
    <t>Excess reduction transferred</t>
  </si>
  <si>
    <t>Taxable Income (Term Deposit/cash illustrations only)</t>
  </si>
  <si>
    <t xml:space="preserve">Adviser name:  </t>
  </si>
  <si>
    <t>Challenger Pricing</t>
  </si>
  <si>
    <t>Total (after tax)</t>
  </si>
  <si>
    <t>TermDepositCash</t>
  </si>
  <si>
    <t>Defined names not updated for comparision</t>
  </si>
  <si>
    <t>DSS treatment</t>
  </si>
  <si>
    <t xml:space="preserve">Note: The information entered here affects the calculation of Age Pension entitlements. Please ensure these are accurate and that the current payment from the account based pension reflects the client’s required retirement income entered in the Age Pension Calculator. </t>
  </si>
  <si>
    <t>Annuities a % of portfolio</t>
  </si>
  <si>
    <t>Doesn't change between scenarios</t>
  </si>
  <si>
    <t>Not used by APC</t>
  </si>
  <si>
    <t>Updated for each scenario via APC portfolio inputs</t>
  </si>
  <si>
    <t>Formula on this worksheet</t>
  </si>
  <si>
    <t xml:space="preserve">Details that can vary between scenario </t>
  </si>
  <si>
    <t>Data not used in APC calculator</t>
  </si>
  <si>
    <t>Data the same between each scenario</t>
  </si>
  <si>
    <t>Cash income</t>
  </si>
  <si>
    <t>Cash</t>
  </si>
  <si>
    <t>Cash balance</t>
  </si>
  <si>
    <t>Cashflow target met</t>
  </si>
  <si>
    <t>Cashflow met</t>
  </si>
  <si>
    <t>Yes = 1/ No = 0</t>
  </si>
  <si>
    <t>NS Cash</t>
  </si>
  <si>
    <t>Deemed</t>
  </si>
  <si>
    <t>$0 growing at 2.5% for 1 years</t>
  </si>
  <si>
    <t>15 yr Pension Boost (future)</t>
  </si>
  <si>
    <t>15 yr Pension Boost (today's)</t>
  </si>
  <si>
    <t>Cash flow difference (today's)</t>
  </si>
  <si>
    <t>Cash flow difference (future)</t>
  </si>
  <si>
    <t>15yr portfolio value difference (Today's)</t>
  </si>
  <si>
    <t>15yr portfolio value difference (Future)</t>
  </si>
  <si>
    <t xml:space="preserve">Current portfolio (in today's dollars)  </t>
  </si>
  <si>
    <t>New Liquid Lifetime regular income portfolio (in today's dollars)</t>
  </si>
  <si>
    <t>Annuity cashflow with boost (in future dollars)</t>
  </si>
  <si>
    <t xml:space="preserve">Liquid Lifetime (regular income) allocation: </t>
  </si>
  <si>
    <t>Term deposit / Cash</t>
  </si>
  <si>
    <t>Total assets:</t>
  </si>
  <si>
    <t>Total income:</t>
  </si>
  <si>
    <t>•</t>
  </si>
  <si>
    <t>Calculator settings for illustration</t>
  </si>
  <si>
    <t>Terms of use</t>
  </si>
  <si>
    <t>Illustrated Liquid Lifetime portfolio</t>
  </si>
  <si>
    <t xml:space="preserve">The Calculators output can only be passed on to a retail client as part of your own advice to your client. The Calculator is designed to assist you as part of your own advice to your client. Use of the Calculator, including its output, is your responsibility. Challenger Life is not in a position to know or understand a particular individual’s financial situation, needs or objectives, and accordingly Challenger Life is not in a position to provide any individual with personal advice. </t>
  </si>
  <si>
    <t>Important note:</t>
  </si>
  <si>
    <t>Owner</t>
  </si>
  <si>
    <t>Withdrawal Guarantee %</t>
  </si>
  <si>
    <t>Nominated payment amount</t>
  </si>
  <si>
    <t>Indexation option</t>
  </si>
  <si>
    <t>Growth asset allocation</t>
  </si>
  <si>
    <t>Defensive asset allocation</t>
  </si>
  <si>
    <t>Product structures in the illustrated strategy</t>
  </si>
  <si>
    <t>Summary of illustration outcomes</t>
  </si>
  <si>
    <t xml:space="preserve">Detailed outcomes </t>
  </si>
  <si>
    <t xml:space="preserve">Account-Based Pensions  </t>
  </si>
  <si>
    <t>Liquid Lifetime (regular income) annuities</t>
  </si>
  <si>
    <t>Is Person 1 of Age Pension age?</t>
  </si>
  <si>
    <t>Is Person 2 of Age Pension age?</t>
  </si>
  <si>
    <t>Existing income stream?</t>
  </si>
  <si>
    <t>Age Pension age?</t>
  </si>
  <si>
    <t>Ongoing ASF (p.a.)</t>
  </si>
  <si>
    <t>(including Age Pension)</t>
  </si>
  <si>
    <r>
      <t>Target retirement income</t>
    </r>
    <r>
      <rPr>
        <b/>
        <sz val="11"/>
        <color theme="0"/>
        <rFont val="Calibri"/>
        <family val="2"/>
        <scheme val="minor"/>
      </rPr>
      <t xml:space="preserve"> (p.a./before tax)</t>
    </r>
  </si>
  <si>
    <t>Account-Based Pensions</t>
  </si>
  <si>
    <t>Non super assets</t>
  </si>
  <si>
    <t>ABP Asset allocation - current portfolio</t>
  </si>
  <si>
    <t xml:space="preserve">Account-Based Pension settings </t>
  </si>
  <si>
    <t>Who owns the Account-Based Pensions?</t>
  </si>
  <si>
    <t>Owner (special illustration)</t>
  </si>
  <si>
    <t>Investment amount / remaining balance</t>
  </si>
  <si>
    <t xml:space="preserve">Client name:  </t>
  </si>
  <si>
    <t>Account-based Pension 2</t>
  </si>
  <si>
    <t>Account-based Pension 1</t>
  </si>
  <si>
    <t>RPP</t>
  </si>
  <si>
    <t>Unusd DA</t>
  </si>
  <si>
    <t>Account-Based Pension Defensive (before fees)</t>
  </si>
  <si>
    <t>Account-Based Pension Growth (before fees)</t>
  </si>
  <si>
    <t>* A lifetime annuity can boost your Age Pension and provide regular payments for your lifetime. However, it’s important to note that if you use money from other investments like an Account-Based Pension to buy the annuity, you may lose some flexibility in terms of access to capital.</t>
  </si>
  <si>
    <t>Cashflow** as a % of annuity purchase price</t>
  </si>
  <si>
    <t>New portfolio pension boost (in today's dollars)</t>
  </si>
  <si>
    <t>New portfolio pension boost* (today's dollars)</t>
  </si>
  <si>
    <t>New (Liquid Lifetime regular income) portfolio - total asset and income values</t>
  </si>
  <si>
    <t>New (Liquid Lifetime regular income) portfolio - Age Pension assessable values</t>
  </si>
  <si>
    <t>The illustrative outcomes of incorporating a Liquid Lifetime (regular income) into a retirement portfolio are detailed below.</t>
  </si>
  <si>
    <t>For annuity pricing when TD/Cash:</t>
  </si>
  <si>
    <t xml:space="preserve">Used for ABPs illustrated (including annuity pricing): </t>
  </si>
  <si>
    <t>15 yr other taxable income calcs</t>
  </si>
  <si>
    <t>Age Pension income</t>
  </si>
  <si>
    <t>Reinflated figures</t>
  </si>
  <si>
    <t>Annuity 1</t>
  </si>
  <si>
    <t>Annuity 2</t>
  </si>
  <si>
    <t>Annuity payments</t>
  </si>
  <si>
    <t>Taxable income apportionment</t>
  </si>
  <si>
    <t>Reduced Purchase Price - Person 1</t>
  </si>
  <si>
    <t>Reduced Purchase Price - Person 2</t>
  </si>
  <si>
    <t>TechServices123456789</t>
  </si>
  <si>
    <t>First year total Age Pension:</t>
  </si>
  <si>
    <t xml:space="preserve">Further detailed information can be found in the Age Pension report. </t>
  </si>
  <si>
    <t xml:space="preserve">Further detailed information can be found in the Age Pension report. Also the Age Pension Calculator has been pre-populated with the case study information so you can model further scenarios and vary the assumptions used. It is important that you consider how any strategy may impact your client’s retirement lifestyle expectations before making any recommendations.  </t>
  </si>
  <si>
    <t>Indexed to CPI (Yr 15)</t>
  </si>
  <si>
    <t>Couple (Ill) NOT USED</t>
  </si>
  <si>
    <r>
      <t xml:space="preserve">Rates to use in illustration driven by </t>
    </r>
    <r>
      <rPr>
        <b/>
        <i/>
        <sz val="14"/>
        <color theme="1"/>
        <rFont val="Calibri"/>
        <family val="2"/>
        <scheme val="minor"/>
      </rPr>
      <t>SettingsL88</t>
    </r>
  </si>
  <si>
    <t>Tax rates (including Medicare Levy, SAPTO &amp; LITO)</t>
  </si>
  <si>
    <t>Tax indexed to CPI message</t>
  </si>
  <si>
    <t>Not indexed</t>
  </si>
  <si>
    <t>Indexed</t>
  </si>
  <si>
    <t>Assumptions</t>
  </si>
  <si>
    <t>Tax has been calculated based on current tax rates and law and where relevant include the Medicare Levy, Low income tax offset (LITO) and the seniors and pensioners tax offset (SAPTO)</t>
  </si>
  <si>
    <t xml:space="preserve">** Annuity cashflow includes annuity payments (principle and earnings) plus any Age Pension boost </t>
  </si>
  <si>
    <t>Index tax thresholds to CPI for year 15 tax calculations?</t>
  </si>
  <si>
    <t>Pension Difference</t>
  </si>
  <si>
    <t>Today's</t>
  </si>
  <si>
    <t>Future</t>
  </si>
  <si>
    <t>Cash drawings</t>
  </si>
  <si>
    <t>Assets Test</t>
  </si>
  <si>
    <t>Income Test</t>
  </si>
  <si>
    <t xml:space="preserve">Save excess: </t>
  </si>
  <si>
    <t>As at 20/9/2016</t>
  </si>
  <si>
    <t>Full</t>
  </si>
  <si>
    <t>$0 growing at 2.5%</t>
  </si>
  <si>
    <t xml:space="preserve">Expenses </t>
  </si>
  <si>
    <t xml:space="preserve">ASFA Comfortable Couples     </t>
  </si>
  <si>
    <t>ASFA Comfortable Singles</t>
  </si>
  <si>
    <t>Essential expenses</t>
  </si>
  <si>
    <t>Housing - ongoing</t>
  </si>
  <si>
    <t>Energy</t>
  </si>
  <si>
    <t xml:space="preserve">Food </t>
  </si>
  <si>
    <t>Clothing</t>
  </si>
  <si>
    <t>Household cleaning, personal care</t>
  </si>
  <si>
    <t xml:space="preserve">Health </t>
  </si>
  <si>
    <t xml:space="preserve">Car and transport costs </t>
  </si>
  <si>
    <t>Communications</t>
  </si>
  <si>
    <t>Mortgage/rent</t>
  </si>
  <si>
    <t>Discretionary expenses</t>
  </si>
  <si>
    <t>Additional household goods and services</t>
  </si>
  <si>
    <t>Dining out, entertainment, alcohol</t>
  </si>
  <si>
    <t>Vacations</t>
  </si>
  <si>
    <t>Other leisure items</t>
  </si>
  <si>
    <t xml:space="preserve">Gifts </t>
  </si>
  <si>
    <t xml:space="preserve">Other </t>
  </si>
  <si>
    <t>ASFA Budget Figures</t>
  </si>
  <si>
    <t>19/110/2016</t>
  </si>
  <si>
    <t>Total per week</t>
  </si>
  <si>
    <t>Retirement spending planner</t>
  </si>
  <si>
    <t>1 According to the ASFA Retirement Standard June 2016 quarter, this is the annual budget needed by Australians to fund a comfortable standard of living in post-work years. Refer to the ASFA website www.superannuation.asn.au       www.superannuation.asn.au</t>
  </si>
  <si>
    <t>Expenses</t>
  </si>
  <si>
    <r>
      <t>ASFA Comfortable</t>
    </r>
    <r>
      <rPr>
        <b/>
        <vertAlign val="superscript"/>
        <sz val="16"/>
        <color theme="0"/>
        <rFont val="Calibri"/>
        <family val="2"/>
        <scheme val="minor"/>
      </rPr>
      <t>1</t>
    </r>
    <r>
      <rPr>
        <b/>
        <sz val="16"/>
        <color theme="0"/>
        <rFont val="Calibri"/>
        <family val="2"/>
        <scheme val="minor"/>
      </rPr>
      <t xml:space="preserve"> </t>
    </r>
  </si>
  <si>
    <t>Your annual budget summary</t>
  </si>
  <si>
    <t>Essential (needs)</t>
  </si>
  <si>
    <t>Discretionary (wants)</t>
  </si>
  <si>
    <t xml:space="preserve">One of the most important steps in planning how much you will need to spend each year to live a comfortable lifestyle is to prepare a budget. The spending planner below can help you determine how much you "need' and how much you "want" to maintain the lifestyle you want in retirement. </t>
  </si>
  <si>
    <t>Enter your expenses (per week)</t>
  </si>
  <si>
    <t>Page 8</t>
  </si>
  <si>
    <t xml:space="preserve">Terms of use </t>
  </si>
  <si>
    <t>The Age Pension Calculator (the Calculator) is designed for use by licensed financial Advisers (Advisers). Use of the Calculator or its output is governed by these Terms of Use. The Age Pension Calculator (calculator) is designed and owned by Challenger Life Company Limited ABN 44 072 486 938 AFSL 234670 (Challenger Life). It is not intended as advice or to be relied upon for making a decision in relation to a particular financial product, fund or strategy. It provides illustrative amounts for general information only, based on the information you enter.
The Calculator and its output are not a Statement of Advice, nor a substitute for a Statement of Advice. The Calculator output can only be passed on to a retail client as part of your own advice to your client. The Calculator is designed to assist you as part of your own advice process between you and your client. Use of the Calculator, including its output, is your responsibility. Challenger Life is not in a position to know or understand a particular individual’s financial situation, needs or objectives, and accordingly Challenger Life is not in a position to provide any individual with personal advice. Challenger Life and its related bodies corporate (we or us) accept no responsibility for any failure on your part to provide advice to your clients to the standard required by law. You hold us harmless for any use of the Calculator, including the provision of the outputs to any other person, and you will indemnify us for any such loss or liability that arises in connection with that use.
The information in the Calculator relies on information which is subject to change without notice. Accordingly, while Challenger Life have exercised due care in designing the Calculator, no warranty can be provided in regard to the accuracy, reliability or suitability of the information. The results obtained from use of the Calculator will depend upon the assumptions selected and the data you input. It is probable that actual future experience will differ from the output obtained from the Calculator. Results will differ if there is a change to the annuity payment rate between the date of illustration and the actual investment date.
No personal information is collected/retained by Challenger through use by you of the calculator. You will need to manage any privacy obligations to your customer in accordance with your own privacy policy.
The Challenger Guaranteed Annuity (Liquid Lifetime) (the Annuity) is offered by Challenger Life. A copy of the current PDS for the Annuity can be downloaded from www.challenger.com.au. Reference should be made to the PDS, which includes important information regarding the risks of investing in the Annuity including about the regular payments, terms for the withdrawal period (including the impact of withdrawal before the end of the withdrawal period) and about the guarantees provided by Challenger Life. Where a person acquires an Annuity, Challenger Life will receive the fees and/or other benefits disclosed in the relevant PDS. Neither Challenger Life nor its employees receive any specific remuneration for any advice provided. Some or all of the Challenger group of companies and their directors may benefit from fees, commissions and other benefits received by another group company.</t>
  </si>
  <si>
    <r>
      <rPr>
        <b/>
        <sz val="10"/>
        <color theme="1"/>
        <rFont val="Arial"/>
        <family val="2"/>
      </rPr>
      <t>Government Age Pension:</t>
    </r>
    <r>
      <rPr>
        <sz val="10"/>
        <color theme="1"/>
        <rFont val="Arial"/>
        <family val="2"/>
      </rPr>
      <t xml:space="preserve"> The Government Age Pension amounts illustrated are based on current law. Any future changes to legislation will alter the Age Pension amounts projected. It is important to note that the Government Age Pension amounts projected are illustrations only and are not a guarantee that a person will be entitled to the Government Age Pension. Eligibility for Government Age Pension entitlements will vary depending on personal circumstances, including the future value of investments and changes to marital status. To check eligibility for the Government Age Pension, go to www.humanservices.gov.au. Unless otherwise stated all amounts are shown in 'today's dollars'. This means that illustrations take into account the impact of inflation between the time of the illustration and the future date.
</t>
    </r>
    <r>
      <rPr>
        <b/>
        <sz val="10"/>
        <color theme="1"/>
        <rFont val="Arial"/>
        <family val="2"/>
      </rPr>
      <t>Liquid Lifetime withdrawal guarantee:</t>
    </r>
    <r>
      <rPr>
        <sz val="10"/>
        <color theme="1"/>
        <rFont val="Arial"/>
        <family val="2"/>
      </rPr>
      <t xml:space="preserve"> The illustrated withdrawal values for the 'New portfolio' include the commutation value of the Liquid Lifetime (regular option) annuity. The annuity has a withdrawal value in the first 15 years only. Where the annuity is held past the end of year 15 it ceases to have a withdrawal value.</t>
    </r>
  </si>
  <si>
    <r>
      <rPr>
        <b/>
        <sz val="10"/>
        <color rgb="FF000000"/>
        <rFont val="Arial"/>
        <family val="2"/>
      </rPr>
      <t xml:space="preserve">Taxation: </t>
    </r>
    <r>
      <rPr>
        <sz val="10"/>
        <color rgb="FF000000"/>
        <rFont val="Arial"/>
        <family val="2"/>
      </rPr>
      <t xml:space="preserve">The Calculator does not calculate any PAYG tax payable on the projected regular retirement income. Generally, once a person turns age 60 and retires, any income received from superannuation investments is tax-free. However, other investments not purchased with money rolled over within the superannuation system may be subject to tax. Where the annuity is purchased with non-superannuation money, tax may be payable on any lump sum withdrawal amount, including where the withdrawal guarantee is exercised at the end of 15 years. The withdrawal values shown at the end of year 15 for the 'New (Liquid Lifetime regular income) portfolio' are after tax values. </t>
    </r>
  </si>
  <si>
    <t>The calculator seeks to meet your target retirement income each year (in today’s dollars) but there may be years where the income received is above or below the required amount. For example, if the amount entered is not sufficient to meet superannuation minimum payment standards (you will receive more than your target income) or where there is insufficient income and capital to meet your target retirement income (you will receive less than the target income).</t>
  </si>
  <si>
    <r>
      <t xml:space="preserve">Target retirement income: </t>
    </r>
    <r>
      <rPr>
        <sz val="10"/>
        <color theme="1"/>
        <rFont val="Arial"/>
        <family val="2"/>
      </rPr>
      <t>The target retirement income is comprised of a combination of the Age Pension, income from superannuation income streams and non-superannuation investments, as well as other income such as employment income.</t>
    </r>
  </si>
  <si>
    <t>Where there is insufficient income earnt to meet your required target income, capital will be used to supplement the income. Capital is first drawn from the Account-based pension and then from term deposit/cash.</t>
  </si>
  <si>
    <t xml:space="preserve">Note this needs to be set to Deterministic Output VicSup in live calc </t>
  </si>
  <si>
    <t>Deterministic Output</t>
  </si>
  <si>
    <t>Challenger Liquid Lifetime</t>
  </si>
  <si>
    <t>Regular</t>
  </si>
  <si>
    <t>Account-Based Pension (super)</t>
  </si>
  <si>
    <t>by Person 1</t>
  </si>
  <si>
    <t>Person 1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</si>
</sst>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6" formatCode="&quot;$&quot;#,##0;[Red]\-&quot;$&quot;#,##0"/>
    <numFmt numFmtId="7" formatCode="&quot;$&quot;#,##0.00;\-&quot;$&quot;#,##0.00"/>
    <numFmt numFmtId="8" formatCode="&quot;$&quot;#,##0.00;[Red]\-&quot;$&quot;#,##0.00"/>
    <numFmt numFmtId="44" formatCode="_-&quot;$&quot;* #,##0.00_-;\-&quot;$&quot;* #,##0.00_-;_-&quot;$&quot;* &quot;-&quot;??_-;_-@_-"/>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quot;$&quot;#,##0.00"/>
    <numFmt numFmtId="169" formatCode="&quot;$&quot;#,##0.0000;[Red]\-&quot;$&quot;#,##0.0000"/>
    <numFmt numFmtId="170" formatCode="_-&quot;$&quot;* #,##0_-;\-&quot;$&quot;* #,##0_-;_-&quot;$&quot;* &quot;-&quot;??_-;_-@_-"/>
    <numFmt numFmtId="171" formatCode="&quot;$&quot;#,##0"/>
    <numFmt numFmtId="172" formatCode="0.0000"/>
    <numFmt numFmtId="173" formatCode="_-* #,##0_-;\-* #,##0_-;_-* &quot;-&quot;??_-;_-@_-"/>
    <numFmt numFmtId="174" formatCode="0.0%"/>
    <numFmt numFmtId="175" formatCode="0.0000%"/>
    <numFmt numFmtId="176" formatCode="0.000%"/>
    <numFmt numFmtId="177" formatCode="_-&quot;$&quot;* #,##0.0_-;\-&quot;$&quot;* #,##0.0_-;_-&quot;$&quot;* &quot;-&quot;??_-;_-@_-"/>
    <numFmt numFmtId="178" formatCode="#,##0_ ;\-#,##0\ "/>
    <numFmt numFmtId="179" formatCode="_-&quot;$&quot;* #,##0.000_-;\-&quot;$&quot;* #,##0.000_-;_-&quot;$&quot;* &quot;-&quot;??_-;_-@_-"/>
    <numFmt numFmtId="180" formatCode="_-* #,##0.0000_-;\-* #,##0.0000_-;_-* &quot;-&quot;??_-;_-@_-"/>
    <numFmt numFmtId="181" formatCode="_(* #,##0_);_(* \(#,##0\);_(* &quot;-&quot;??_);_(@_)"/>
    <numFmt numFmtId="182" formatCode="_(&quot;$&quot;* #,##0_);_(&quot;$&quot;* \(#,##0\);_(&quot;$&quot;* &quot;-&quot;??_);_(@_)"/>
    <numFmt numFmtId="183" formatCode="d\/m\/yyyy"/>
    <numFmt numFmtId="184" formatCode="d/mm/yyyy;@"/>
    <numFmt numFmtId="185" formatCode="0.0"/>
    <numFmt numFmtId="186" formatCode="[$-409]d/mmm/yyyy;@"/>
    <numFmt numFmtId="187" formatCode="[$-F800]dddd\,\ mmmm\ dd\,\ yyyy"/>
    <numFmt numFmtId="188" formatCode="&quot;$&quot;#,##0.000;[Red]\-&quot;$&quot;#,##0.000"/>
    <numFmt numFmtId="189" formatCode="&quot;$&quot;#,##0.00;[Red]&quot;$&quot;#,##0.00"/>
    <numFmt numFmtId="190" formatCode="0.000"/>
  </numFmts>
  <fonts count="149">
    <font>
      <sz val="12"/>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charset val="134"/>
      <scheme val="minor"/>
    </font>
    <font>
      <u/>
      <sz val="12"/>
      <color theme="11"/>
      <name val="Calibri"/>
      <family val="2"/>
      <charset val="134"/>
      <scheme val="minor"/>
    </font>
    <font>
      <b/>
      <sz val="12"/>
      <color theme="1"/>
      <name val="Calibri"/>
      <family val="2"/>
      <scheme val="minor"/>
    </font>
    <font>
      <sz val="12"/>
      <color theme="1"/>
      <name val="Calibri"/>
      <family val="2"/>
      <charset val="134"/>
      <scheme val="minor"/>
    </font>
    <font>
      <sz val="10"/>
      <name val="Arial"/>
      <family val="2"/>
    </font>
    <font>
      <b/>
      <sz val="10"/>
      <color theme="0"/>
      <name val="Arial"/>
      <family val="2"/>
    </font>
    <font>
      <sz val="12"/>
      <color theme="1"/>
      <name val="Calibri"/>
      <family val="2"/>
      <scheme val="minor"/>
    </font>
    <font>
      <b/>
      <sz val="12"/>
      <color theme="0"/>
      <name val="Calibri"/>
      <family val="2"/>
      <scheme val="minor"/>
    </font>
    <font>
      <sz val="9"/>
      <color indexed="81"/>
      <name val="Tahoma"/>
      <family val="2"/>
    </font>
    <font>
      <b/>
      <sz val="9"/>
      <color indexed="81"/>
      <name val="Tahoma"/>
      <family val="2"/>
    </font>
    <font>
      <sz val="10"/>
      <color rgb="FF000000"/>
      <name val="Arial"/>
      <family val="2"/>
    </font>
    <font>
      <b/>
      <sz val="10"/>
      <name val="Arial"/>
      <family val="2"/>
    </font>
    <font>
      <i/>
      <sz val="12"/>
      <color theme="1"/>
      <name val="Calibri"/>
      <family val="2"/>
      <scheme val="minor"/>
    </font>
    <font>
      <sz val="11"/>
      <color rgb="FF000000"/>
      <name val="Arial"/>
      <family val="2"/>
    </font>
    <font>
      <b/>
      <sz val="12"/>
      <name val="Calibri"/>
      <family val="2"/>
      <scheme val="minor"/>
    </font>
    <font>
      <sz val="12"/>
      <name val="Calibri"/>
      <family val="2"/>
      <scheme val="minor"/>
    </font>
    <font>
      <sz val="11"/>
      <color rgb="FF006100"/>
      <name val="Calibri"/>
      <family val="2"/>
      <scheme val="minor"/>
    </font>
    <font>
      <sz val="12"/>
      <color theme="0"/>
      <name val="Calibri"/>
      <family val="2"/>
      <scheme val="minor"/>
    </font>
    <font>
      <sz val="12"/>
      <color rgb="FF000000"/>
      <name val="Calibri"/>
      <family val="2"/>
    </font>
    <font>
      <b/>
      <sz val="11"/>
      <color theme="1"/>
      <name val="Arial"/>
      <family val="2"/>
    </font>
    <font>
      <b/>
      <sz val="10"/>
      <color theme="1"/>
      <name val="Arial"/>
      <family val="2"/>
    </font>
    <font>
      <b/>
      <sz val="12"/>
      <color theme="0"/>
      <name val="Arial"/>
      <family val="2"/>
    </font>
    <font>
      <sz val="12"/>
      <color rgb="FFFF0000"/>
      <name val="Calibri"/>
      <family val="2"/>
      <scheme val="minor"/>
    </font>
    <font>
      <b/>
      <strike/>
      <sz val="10"/>
      <color theme="0"/>
      <name val="Arial"/>
      <family val="2"/>
    </font>
    <font>
      <strike/>
      <sz val="11"/>
      <color rgb="FF006100"/>
      <name val="Calibri"/>
      <family val="2"/>
      <scheme val="minor"/>
    </font>
    <font>
      <sz val="10"/>
      <color theme="1"/>
      <name val="Arial"/>
      <family val="2"/>
    </font>
    <font>
      <b/>
      <sz val="14"/>
      <color theme="1"/>
      <name val="Arial"/>
      <family val="2"/>
    </font>
    <font>
      <b/>
      <sz val="12"/>
      <color theme="1"/>
      <name val="Arial"/>
      <family val="2"/>
    </font>
    <font>
      <b/>
      <sz val="18"/>
      <color theme="1"/>
      <name val="Arial"/>
      <family val="2"/>
    </font>
    <font>
      <sz val="10"/>
      <color theme="1"/>
      <name val="Calibri"/>
      <family val="2"/>
      <scheme val="minor"/>
    </font>
    <font>
      <sz val="12"/>
      <color theme="1"/>
      <name val="Arial"/>
      <family val="2"/>
    </font>
    <font>
      <i/>
      <sz val="12"/>
      <name val="Calibri"/>
      <family val="2"/>
      <scheme val="minor"/>
    </font>
    <font>
      <b/>
      <sz val="11"/>
      <color theme="0"/>
      <name val="Arial"/>
      <family val="2"/>
    </font>
    <font>
      <sz val="11"/>
      <name val="Calibri"/>
      <family val="2"/>
      <scheme val="minor"/>
    </font>
    <font>
      <u/>
      <sz val="12"/>
      <color theme="10"/>
      <name val="Calibri"/>
      <family val="2"/>
      <scheme val="minor"/>
    </font>
    <font>
      <i/>
      <sz val="11"/>
      <color theme="1"/>
      <name val="Calibri"/>
      <family val="2"/>
      <scheme val="minor"/>
    </font>
    <font>
      <b/>
      <sz val="11"/>
      <color theme="1"/>
      <name val="Calibri"/>
      <family val="2"/>
      <scheme val="minor"/>
    </font>
    <font>
      <b/>
      <sz val="14"/>
      <name val="Arial"/>
      <family val="2"/>
    </font>
    <font>
      <sz val="12"/>
      <color theme="9" tint="-0.499984740745262"/>
      <name val="Calibri"/>
      <family val="2"/>
      <scheme val="minor"/>
    </font>
    <font>
      <sz val="11"/>
      <color theme="1"/>
      <name val="Arial"/>
      <family val="2"/>
    </font>
    <font>
      <b/>
      <sz val="10"/>
      <color theme="1"/>
      <name val="Arial Narrow"/>
      <family val="2"/>
    </font>
    <font>
      <sz val="10"/>
      <color theme="1"/>
      <name val="Arial Narrow"/>
      <family val="2"/>
    </font>
    <font>
      <b/>
      <sz val="11"/>
      <color theme="1"/>
      <name val="Arial Narrow"/>
      <family val="2"/>
    </font>
    <font>
      <i/>
      <sz val="10"/>
      <color theme="1"/>
      <name val="Calibri"/>
      <family val="2"/>
      <scheme val="minor"/>
    </font>
    <font>
      <b/>
      <sz val="10"/>
      <color rgb="FFFA7D00"/>
      <name val="Arial"/>
      <family val="2"/>
    </font>
    <font>
      <sz val="12"/>
      <color theme="1" tint="0.249977111117893"/>
      <name val="Calibri"/>
      <family val="2"/>
      <scheme val="minor"/>
    </font>
    <font>
      <b/>
      <sz val="14"/>
      <color theme="1"/>
      <name val="Calibri"/>
      <family val="2"/>
      <scheme val="minor"/>
    </font>
    <font>
      <b/>
      <sz val="14"/>
      <color theme="4" tint="-0.499984740745262"/>
      <name val="Calibri"/>
      <family val="2"/>
      <scheme val="minor"/>
    </font>
    <font>
      <b/>
      <sz val="13"/>
      <color theme="4" tint="-0.499984740745262"/>
      <name val="Calibri"/>
      <family val="2"/>
      <scheme val="minor"/>
    </font>
    <font>
      <sz val="12"/>
      <color theme="4" tint="-0.499984740745262"/>
      <name val="Calibri"/>
      <family val="2"/>
      <scheme val="minor"/>
    </font>
    <font>
      <sz val="13"/>
      <color theme="4" tint="-0.499984740745262"/>
      <name val="Calibri"/>
      <family val="2"/>
      <scheme val="minor"/>
    </font>
    <font>
      <b/>
      <sz val="16"/>
      <color theme="1"/>
      <name val="Calibri"/>
      <family val="2"/>
      <scheme val="minor"/>
    </font>
    <font>
      <b/>
      <sz val="14"/>
      <color theme="0"/>
      <name val="Calibri"/>
      <family val="2"/>
      <scheme val="minor"/>
    </font>
    <font>
      <b/>
      <sz val="18"/>
      <color theme="0"/>
      <name val="Calibri"/>
      <family val="2"/>
      <scheme val="minor"/>
    </font>
    <font>
      <b/>
      <sz val="16"/>
      <color theme="6" tint="-0.249977111117893"/>
      <name val="Calibri"/>
      <family val="2"/>
      <scheme val="minor"/>
    </font>
    <font>
      <b/>
      <sz val="14"/>
      <color theme="6" tint="-0.249977111117893"/>
      <name val="Calibri"/>
      <family val="2"/>
      <scheme val="minor"/>
    </font>
    <font>
      <sz val="8"/>
      <color rgb="FF000000"/>
      <name val="Tahoma"/>
      <family val="2"/>
    </font>
    <font>
      <sz val="14"/>
      <color theme="1"/>
      <name val="Calibri"/>
      <family val="2"/>
      <scheme val="minor"/>
    </font>
    <font>
      <sz val="9"/>
      <color theme="1"/>
      <name val="Calibri"/>
      <family val="2"/>
      <scheme val="minor"/>
    </font>
    <font>
      <b/>
      <sz val="14"/>
      <color rgb="FF2495CE"/>
      <name val="Calibri"/>
      <family val="2"/>
      <scheme val="minor"/>
    </font>
    <font>
      <sz val="13"/>
      <color theme="1"/>
      <name val="Calibri"/>
      <family val="2"/>
      <scheme val="minor"/>
    </font>
    <font>
      <b/>
      <sz val="13"/>
      <color theme="1"/>
      <name val="Calibri"/>
      <family val="2"/>
      <scheme val="minor"/>
    </font>
    <font>
      <b/>
      <sz val="11"/>
      <color theme="0"/>
      <name val="Calibri"/>
      <family val="2"/>
      <scheme val="minor"/>
    </font>
    <font>
      <sz val="12"/>
      <color theme="3"/>
      <name val="Calibri"/>
      <family val="2"/>
      <scheme val="minor"/>
    </font>
    <font>
      <b/>
      <sz val="14"/>
      <color rgb="FFFF0000"/>
      <name val="Calibri"/>
      <family val="2"/>
      <scheme val="minor"/>
    </font>
    <font>
      <sz val="11"/>
      <color rgb="FFFF0000"/>
      <name val="Verdana"/>
      <family val="2"/>
    </font>
    <font>
      <b/>
      <sz val="12"/>
      <color theme="3"/>
      <name val="Calibri"/>
      <family val="2"/>
      <scheme val="minor"/>
    </font>
    <font>
      <sz val="11"/>
      <color theme="3"/>
      <name val="Calibri"/>
      <family val="2"/>
      <scheme val="minor"/>
    </font>
    <font>
      <sz val="11"/>
      <color rgb="FF10253F"/>
      <name val="Calibri"/>
      <family val="2"/>
      <scheme val="minor"/>
    </font>
    <font>
      <b/>
      <sz val="11"/>
      <color rgb="FFFF0000"/>
      <name val="Calibri"/>
      <family val="2"/>
      <scheme val="minor"/>
    </font>
    <font>
      <b/>
      <sz val="22"/>
      <color theme="1"/>
      <name val="Calibri"/>
      <family val="2"/>
      <scheme val="minor"/>
    </font>
    <font>
      <b/>
      <sz val="12"/>
      <color rgb="FF000000"/>
      <name val="Calibri"/>
      <family val="2"/>
    </font>
    <font>
      <b/>
      <sz val="10"/>
      <color theme="1"/>
      <name val="Calibri"/>
      <family val="2"/>
      <scheme val="minor"/>
    </font>
    <font>
      <b/>
      <sz val="12"/>
      <color theme="4" tint="0.79998168889431442"/>
      <name val="Calibri"/>
      <family val="2"/>
      <scheme val="minor"/>
    </font>
    <font>
      <b/>
      <sz val="10"/>
      <color indexed="49"/>
      <name val="Arial"/>
      <family val="2"/>
    </font>
    <font>
      <sz val="12"/>
      <color theme="1"/>
      <name val="Arial Narrow"/>
      <family val="2"/>
    </font>
    <font>
      <b/>
      <sz val="20"/>
      <color theme="1"/>
      <name val="Arial"/>
      <family val="2"/>
    </font>
    <font>
      <b/>
      <sz val="14"/>
      <color theme="0"/>
      <name val="Arial"/>
      <family val="2"/>
    </font>
    <font>
      <sz val="12"/>
      <color theme="0"/>
      <name val="Arial"/>
      <family val="2"/>
    </font>
    <font>
      <b/>
      <sz val="12"/>
      <color theme="1"/>
      <name val="Arial Narrow"/>
      <family val="2"/>
    </font>
    <font>
      <sz val="11"/>
      <color theme="1"/>
      <name val="Arial Narrow"/>
      <family val="2"/>
    </font>
    <font>
      <b/>
      <sz val="11"/>
      <color theme="0"/>
      <name val="Arial Narrow"/>
      <family val="2"/>
    </font>
    <font>
      <b/>
      <sz val="12"/>
      <color theme="0"/>
      <name val="Arial Narrow"/>
      <family val="2"/>
    </font>
    <font>
      <sz val="10.5"/>
      <color theme="1"/>
      <name val="Arial Narrow"/>
      <family val="2"/>
    </font>
    <font>
      <b/>
      <sz val="10.5"/>
      <color theme="1"/>
      <name val="Arial"/>
      <family val="2"/>
    </font>
    <font>
      <sz val="10"/>
      <color rgb="FF3E3E3E"/>
      <name val="Tahoma"/>
      <family val="2"/>
    </font>
    <font>
      <sz val="12"/>
      <color theme="0"/>
      <name val="Arial Narrow"/>
      <family val="2"/>
    </font>
    <font>
      <b/>
      <sz val="11"/>
      <color theme="3"/>
      <name val="Calibri"/>
      <family val="2"/>
      <scheme val="minor"/>
    </font>
    <font>
      <b/>
      <sz val="10"/>
      <color theme="3"/>
      <name val="Arial Narrow"/>
      <family val="2"/>
    </font>
    <font>
      <sz val="16"/>
      <color theme="1"/>
      <name val="Calibri"/>
      <family val="2"/>
      <scheme val="minor"/>
    </font>
    <font>
      <i/>
      <sz val="12"/>
      <color theme="1"/>
      <name val="Arial"/>
      <family val="2"/>
    </font>
    <font>
      <sz val="10"/>
      <color indexed="62"/>
      <name val="Arial"/>
      <family val="2"/>
    </font>
    <font>
      <b/>
      <sz val="10"/>
      <color indexed="62"/>
      <name val="Arial"/>
      <family val="2"/>
    </font>
    <font>
      <b/>
      <sz val="11"/>
      <color indexed="8"/>
      <name val="Arial"/>
      <family val="2"/>
    </font>
    <font>
      <sz val="11"/>
      <color indexed="8"/>
      <name val="Arial"/>
      <family val="2"/>
    </font>
    <font>
      <sz val="11"/>
      <color rgb="FF00B0F0"/>
      <name val="Arial"/>
      <family val="2"/>
    </font>
    <font>
      <sz val="10"/>
      <color rgb="FF00B0F0"/>
      <name val="Arial"/>
      <family val="2"/>
    </font>
    <font>
      <b/>
      <sz val="10.5"/>
      <color indexed="56"/>
      <name val="Arial"/>
      <family val="2"/>
    </font>
    <font>
      <b/>
      <sz val="10"/>
      <name val="Calibri"/>
      <family val="2"/>
      <scheme val="minor"/>
    </font>
    <font>
      <b/>
      <sz val="16"/>
      <color theme="0"/>
      <name val="Calibri"/>
      <family val="2"/>
      <scheme val="minor"/>
    </font>
    <font>
      <sz val="12.5"/>
      <color theme="1"/>
      <name val="Calibri"/>
      <family val="2"/>
      <scheme val="minor"/>
    </font>
    <font>
      <b/>
      <u/>
      <sz val="12.5"/>
      <color theme="1"/>
      <name val="Calibri"/>
      <family val="2"/>
      <scheme val="minor"/>
    </font>
    <font>
      <b/>
      <sz val="12.5"/>
      <color theme="1"/>
      <name val="Calibri"/>
      <family val="2"/>
      <scheme val="minor"/>
    </font>
    <font>
      <b/>
      <sz val="12.5"/>
      <color theme="0"/>
      <name val="Calibri"/>
      <family val="2"/>
      <scheme val="minor"/>
    </font>
    <font>
      <b/>
      <sz val="13"/>
      <color theme="1" tint="0.14999847407452621"/>
      <name val="Calibri"/>
      <family val="2"/>
      <scheme val="minor"/>
    </font>
    <font>
      <b/>
      <sz val="13"/>
      <color theme="1"/>
      <name val="Arial Narrow"/>
      <family val="2"/>
    </font>
    <font>
      <sz val="12.5"/>
      <color theme="1"/>
      <name val="Calibri"/>
      <family val="2"/>
    </font>
    <font>
      <sz val="14"/>
      <color theme="0"/>
      <name val="Calibri"/>
      <family val="2"/>
      <scheme val="minor"/>
    </font>
    <font>
      <sz val="12.5"/>
      <color theme="0"/>
      <name val="Calibri"/>
      <family val="2"/>
      <scheme val="minor"/>
    </font>
    <font>
      <b/>
      <sz val="12"/>
      <color rgb="FFFF0000"/>
      <name val="Arial"/>
      <family val="2"/>
    </font>
    <font>
      <sz val="11"/>
      <color rgb="FF9C0006"/>
      <name val="Calibri"/>
      <family val="2"/>
      <scheme val="minor"/>
    </font>
    <font>
      <b/>
      <sz val="22"/>
      <color theme="1" tint="0.14999847407452621"/>
      <name val="Calibri"/>
      <family val="2"/>
      <scheme val="minor"/>
    </font>
    <font>
      <b/>
      <sz val="26"/>
      <color theme="1" tint="0.14999847407452621"/>
      <name val="Calibri"/>
      <family val="2"/>
      <scheme val="minor"/>
    </font>
    <font>
      <b/>
      <i/>
      <sz val="14"/>
      <color theme="1"/>
      <name val="Calibri"/>
      <family val="2"/>
      <scheme val="minor"/>
    </font>
    <font>
      <sz val="8.5"/>
      <color theme="1"/>
      <name val="Arial"/>
      <family val="2"/>
    </font>
    <font>
      <b/>
      <sz val="11"/>
      <name val="Calibri"/>
      <family val="2"/>
      <scheme val="minor"/>
    </font>
    <font>
      <b/>
      <sz val="26"/>
      <name val="Calibri"/>
      <family val="2"/>
      <scheme val="minor"/>
    </font>
    <font>
      <b/>
      <sz val="18"/>
      <color theme="1"/>
      <name val="Calibri"/>
      <family val="2"/>
      <scheme val="minor"/>
    </font>
    <font>
      <b/>
      <vertAlign val="superscript"/>
      <sz val="16"/>
      <color theme="0"/>
      <name val="Calibri"/>
      <family val="2"/>
      <scheme val="minor"/>
    </font>
    <font>
      <b/>
      <sz val="20"/>
      <color theme="1"/>
      <name val="Calibri"/>
      <family val="2"/>
      <scheme val="minor"/>
    </font>
    <font>
      <b/>
      <sz val="10"/>
      <color rgb="FF000000"/>
      <name val="Arial"/>
      <family val="2"/>
    </font>
  </fonts>
  <fills count="40">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7" tint="0.79998168889431442"/>
        <bgColor indexed="64"/>
      </patternFill>
    </fill>
    <fill>
      <patternFill patternType="solid">
        <fgColor rgb="FFC6EFCE"/>
      </patternFill>
    </fill>
    <fill>
      <patternFill patternType="solid">
        <fgColor theme="0"/>
        <bgColor indexed="64"/>
      </patternFill>
    </fill>
    <fill>
      <patternFill patternType="solid">
        <fgColor theme="6" tint="0.39997558519241921"/>
        <bgColor indexed="64"/>
      </patternFill>
    </fill>
    <fill>
      <patternFill patternType="solid">
        <fgColor theme="1"/>
        <bgColor indexed="37"/>
      </patternFill>
    </fill>
    <fill>
      <patternFill patternType="solid">
        <fgColor theme="1"/>
        <bgColor indexed="64"/>
      </patternFill>
    </fill>
    <fill>
      <patternFill patternType="solid">
        <fgColor rgb="FFFF99CC"/>
        <bgColor indexed="64"/>
      </patternFill>
    </fill>
    <fill>
      <patternFill patternType="solid">
        <fgColor theme="2" tint="-0.249977111117893"/>
        <bgColor indexed="64"/>
      </patternFill>
    </fill>
    <fill>
      <patternFill patternType="solid">
        <fgColor rgb="FFF2A4F4"/>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indexed="9"/>
      </patternFill>
    </fill>
    <fill>
      <patternFill patternType="solid">
        <fgColor theme="6"/>
        <bgColor indexed="64"/>
      </patternFill>
    </fill>
    <fill>
      <patternFill patternType="solid">
        <fgColor theme="6" tint="-0.249977111117893"/>
        <bgColor indexed="64"/>
      </patternFill>
    </fill>
    <fill>
      <patternFill patternType="solid">
        <fgColor theme="1" tint="0.499984740745262"/>
        <bgColor indexed="64"/>
      </patternFill>
    </fill>
    <fill>
      <patternFill patternType="solid">
        <fgColor theme="4" tint="0.59999389629810485"/>
        <bgColor indexed="64"/>
      </patternFill>
    </fill>
    <fill>
      <patternFill patternType="solid">
        <fgColor indexed="8"/>
        <bgColor indexed="64"/>
      </patternFill>
    </fill>
    <fill>
      <patternFill patternType="solid">
        <fgColor theme="1" tint="0.14999847407452621"/>
        <bgColor indexed="64"/>
      </patternFill>
    </fill>
    <fill>
      <patternFill patternType="solid">
        <fgColor theme="6"/>
        <bgColor indexed="37"/>
      </patternFill>
    </fill>
    <fill>
      <patternFill patternType="solid">
        <fgColor indexed="9"/>
        <bgColor indexed="64"/>
      </patternFill>
    </fill>
    <fill>
      <patternFill patternType="solid">
        <fgColor indexed="22"/>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rgb="FFFFC7CE"/>
      </patternFill>
    </fill>
    <fill>
      <patternFill patternType="solid">
        <fgColor theme="9" tint="0.59999389629810485"/>
        <bgColor indexed="64"/>
      </patternFill>
    </fill>
  </fills>
  <borders count="103">
    <border>
      <left/>
      <right/>
      <top/>
      <bottom/>
      <diagonal/>
    </border>
    <border>
      <left/>
      <right/>
      <top/>
      <bottom style="medium">
        <color auto="1"/>
      </bottom>
      <diagonal/>
    </border>
    <border>
      <left style="thin">
        <color indexed="64"/>
      </left>
      <right/>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theme="1"/>
      </right>
      <top/>
      <bottom/>
      <diagonal/>
    </border>
    <border>
      <left style="thin">
        <color theme="1"/>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bottom style="thick">
        <color theme="0"/>
      </bottom>
      <diagonal/>
    </border>
    <border>
      <left style="thin">
        <color theme="1"/>
      </left>
      <right style="thin">
        <color theme="1"/>
      </right>
      <top style="thin">
        <color theme="1"/>
      </top>
      <bottom style="thin">
        <color theme="1"/>
      </bottom>
      <diagonal/>
    </border>
    <border>
      <left/>
      <right/>
      <top/>
      <bottom style="thin">
        <color theme="1"/>
      </bottom>
      <diagonal/>
    </border>
    <border>
      <left/>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ck">
        <color theme="0"/>
      </top>
      <bottom/>
      <diagonal/>
    </border>
    <border>
      <left/>
      <right style="thin">
        <color theme="0" tint="-0.499984740745262"/>
      </right>
      <top/>
      <bottom style="thin">
        <color theme="0" tint="-0.499984740745262"/>
      </bottom>
      <diagonal/>
    </border>
    <border>
      <left/>
      <right style="thin">
        <color theme="0" tint="-0.499984740745262"/>
      </right>
      <top/>
      <bottom style="thick">
        <color theme="0"/>
      </bottom>
      <diagonal/>
    </border>
    <border>
      <left/>
      <right/>
      <top style="thin">
        <color theme="0" tint="-0.499984740745262"/>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theme="0" tint="-0.499984740745262"/>
      </top>
      <bottom/>
      <diagonal/>
    </border>
    <border>
      <left/>
      <right style="thin">
        <color indexed="64"/>
      </right>
      <top/>
      <bottom style="thick">
        <color theme="0"/>
      </bottom>
      <diagonal/>
    </border>
    <border>
      <left style="thin">
        <color indexed="64"/>
      </left>
      <right/>
      <top style="thin">
        <color theme="0" tint="-0.499984740745262"/>
      </top>
      <bottom/>
      <diagonal/>
    </border>
    <border>
      <left style="thin">
        <color indexed="64"/>
      </left>
      <right/>
      <top/>
      <bottom style="thick">
        <color theme="0"/>
      </bottom>
      <diagonal/>
    </border>
    <border>
      <left style="thin">
        <color indexed="64"/>
      </left>
      <right/>
      <top style="thick">
        <color theme="0"/>
      </top>
      <bottom/>
      <diagonal/>
    </border>
    <border>
      <left/>
      <right style="thin">
        <color indexed="64"/>
      </right>
      <top style="thick">
        <color theme="0"/>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ck">
        <color theme="0"/>
      </bottom>
      <diagonal/>
    </border>
    <border>
      <left style="thin">
        <color theme="1"/>
      </left>
      <right/>
      <top style="thick">
        <color theme="0"/>
      </top>
      <bottom/>
      <diagonal/>
    </border>
    <border>
      <left/>
      <right style="thin">
        <color theme="0"/>
      </right>
      <top/>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top/>
      <bottom style="medium">
        <color theme="0" tint="-0.34998626667073579"/>
      </bottom>
      <diagonal/>
    </border>
    <border>
      <left/>
      <right/>
      <top/>
      <bottom style="thin">
        <color theme="4" tint="0.79998168889431442"/>
      </bottom>
      <diagonal/>
    </border>
    <border>
      <left/>
      <right/>
      <top/>
      <bottom style="thin">
        <color theme="6" tint="0.59999389629810485"/>
      </bottom>
      <diagonal/>
    </border>
    <border>
      <left/>
      <right/>
      <top/>
      <bottom style="thin">
        <color theme="0" tint="-0.14999847407452621"/>
      </bottom>
      <diagonal/>
    </border>
    <border>
      <left/>
      <right/>
      <top style="thin">
        <color theme="0" tint="-0.14999847407452621"/>
      </top>
      <bottom/>
      <diagonal/>
    </border>
    <border>
      <left/>
      <right/>
      <top/>
      <bottom style="thin">
        <color theme="0"/>
      </bottom>
      <diagonal/>
    </border>
    <border>
      <left/>
      <right style="thin">
        <color theme="1"/>
      </right>
      <top/>
      <bottom style="thin">
        <color indexed="64"/>
      </bottom>
      <diagonal/>
    </border>
    <border>
      <left/>
      <right/>
      <top style="medium">
        <color theme="0" tint="-0.34998626667073579"/>
      </top>
      <bottom style="thin">
        <color theme="0" tint="-0.34998626667073579"/>
      </bottom>
      <diagonal/>
    </border>
    <border>
      <left style="medium">
        <color theme="1" tint="0.249977111117893"/>
      </left>
      <right style="medium">
        <color theme="1" tint="0.249977111117893"/>
      </right>
      <top style="medium">
        <color theme="1" tint="0.249977111117893"/>
      </top>
      <bottom style="medium">
        <color theme="1" tint="0.249977111117893"/>
      </bottom>
      <diagonal/>
    </border>
    <border>
      <left/>
      <right/>
      <top/>
      <bottom style="thin">
        <color theme="1" tint="0.249977111117893"/>
      </bottom>
      <diagonal/>
    </border>
    <border>
      <left/>
      <right/>
      <top/>
      <bottom style="thick">
        <color theme="1"/>
      </bottom>
      <diagonal/>
    </border>
    <border>
      <left style="thin">
        <color theme="0"/>
      </left>
      <right style="thin">
        <color theme="0"/>
      </right>
      <top/>
      <bottom/>
      <diagonal/>
    </border>
    <border>
      <left/>
      <right style="thin">
        <color theme="1"/>
      </right>
      <top/>
      <bottom style="thin">
        <color theme="1"/>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style="thick">
        <color theme="1"/>
      </bottom>
      <diagonal/>
    </border>
    <border>
      <left style="thin">
        <color theme="1"/>
      </left>
      <right style="thin">
        <color theme="1"/>
      </right>
      <top/>
      <bottom style="thick">
        <color theme="1"/>
      </bottom>
      <diagonal/>
    </border>
    <border>
      <left/>
      <right/>
      <top style="thick">
        <color theme="1"/>
      </top>
      <bottom/>
      <diagonal/>
    </border>
    <border>
      <left/>
      <right style="thin">
        <color theme="1"/>
      </right>
      <top style="thick">
        <color theme="1"/>
      </top>
      <bottom/>
      <diagonal/>
    </border>
    <border>
      <left style="thin">
        <color theme="1"/>
      </left>
      <right style="thin">
        <color theme="1"/>
      </right>
      <top style="thick">
        <color theme="1"/>
      </top>
      <bottom/>
      <diagonal/>
    </border>
    <border>
      <left/>
      <right/>
      <top style="medium">
        <color theme="0" tint="-0.34998626667073579"/>
      </top>
      <bottom/>
      <diagonal/>
    </border>
    <border>
      <left/>
      <right/>
      <top style="thin">
        <color indexed="64"/>
      </top>
      <bottom style="medium">
        <color indexed="64"/>
      </bottom>
      <diagonal/>
    </border>
    <border>
      <left style="thick">
        <color indexed="64"/>
      </left>
      <right/>
      <top/>
      <bottom/>
      <diagonal/>
    </border>
    <border>
      <left/>
      <right style="thick">
        <color indexed="64"/>
      </right>
      <top/>
      <bottom/>
      <diagonal/>
    </border>
    <border>
      <left/>
      <right/>
      <top/>
      <bottom style="thick">
        <color indexed="64"/>
      </bottom>
      <diagonal/>
    </border>
    <border>
      <left/>
      <right style="thin">
        <color theme="1"/>
      </right>
      <top/>
      <bottom style="thick">
        <color indexed="64"/>
      </bottom>
      <diagonal/>
    </border>
    <border>
      <left style="thin">
        <color indexed="64"/>
      </left>
      <right style="thin">
        <color indexed="64"/>
      </right>
      <top style="thin">
        <color indexed="64"/>
      </top>
      <bottom style="thick">
        <color indexed="64"/>
      </bottom>
      <diagonal/>
    </border>
    <border>
      <left style="thin">
        <color theme="0"/>
      </left>
      <right/>
      <top/>
      <bottom/>
      <diagonal/>
    </border>
    <border>
      <left/>
      <right/>
      <top style="thin">
        <color theme="1"/>
      </top>
      <bottom/>
      <diagonal/>
    </border>
    <border>
      <left style="thin">
        <color theme="1"/>
      </left>
      <right style="thick">
        <color indexed="64"/>
      </right>
      <top/>
      <bottom/>
      <diagonal/>
    </border>
    <border>
      <left style="thin">
        <color theme="1"/>
      </left>
      <right style="thin">
        <color theme="1"/>
      </right>
      <top/>
      <bottom style="thin">
        <color indexed="64"/>
      </bottom>
      <diagonal/>
    </border>
    <border>
      <left style="thin">
        <color theme="1"/>
      </left>
      <right style="thick">
        <color indexed="64"/>
      </right>
      <top/>
      <bottom style="thin">
        <color indexed="64"/>
      </bottom>
      <diagonal/>
    </border>
    <border>
      <left/>
      <right/>
      <top style="thin">
        <color theme="1" tint="0.249977111117893"/>
      </top>
      <bottom/>
      <diagonal/>
    </border>
    <border>
      <left/>
      <right/>
      <top style="thin">
        <color theme="0"/>
      </top>
      <bottom style="thin">
        <color theme="0"/>
      </bottom>
      <diagonal/>
    </border>
    <border>
      <left/>
      <right/>
      <top style="thick">
        <color theme="0"/>
      </top>
      <bottom style="thin">
        <color theme="0"/>
      </bottom>
      <diagonal/>
    </border>
    <border>
      <left/>
      <right/>
      <top style="thin">
        <color theme="0"/>
      </top>
      <bottom/>
      <diagonal/>
    </border>
    <border>
      <left/>
      <right/>
      <top style="thick">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6"/>
      </left>
      <right style="thin">
        <color theme="6"/>
      </right>
      <top style="thin">
        <color theme="6"/>
      </top>
      <bottom style="thin">
        <color theme="6"/>
      </bottom>
      <diagonal/>
    </border>
    <border>
      <left style="medium">
        <color theme="6"/>
      </left>
      <right/>
      <top style="medium">
        <color theme="6"/>
      </top>
      <bottom/>
      <diagonal/>
    </border>
    <border>
      <left/>
      <right/>
      <top style="medium">
        <color theme="6"/>
      </top>
      <bottom/>
      <diagonal/>
    </border>
    <border>
      <left/>
      <right style="medium">
        <color theme="6"/>
      </right>
      <top style="medium">
        <color theme="6"/>
      </top>
      <bottom/>
      <diagonal/>
    </border>
    <border>
      <left style="medium">
        <color theme="6"/>
      </left>
      <right/>
      <top/>
      <bottom/>
      <diagonal/>
    </border>
    <border>
      <left/>
      <right style="medium">
        <color theme="6"/>
      </right>
      <top/>
      <bottom/>
      <diagonal/>
    </border>
    <border>
      <left style="medium">
        <color theme="6"/>
      </left>
      <right/>
      <top/>
      <bottom style="medium">
        <color theme="6"/>
      </bottom>
      <diagonal/>
    </border>
    <border>
      <left/>
      <right/>
      <top/>
      <bottom style="medium">
        <color theme="6"/>
      </bottom>
      <diagonal/>
    </border>
    <border>
      <left/>
      <right style="medium">
        <color theme="6"/>
      </right>
      <top/>
      <bottom style="medium">
        <color theme="6"/>
      </bottom>
      <diagonal/>
    </border>
  </borders>
  <cellStyleXfs count="5053">
    <xf numFmtId="0" fontId="0" fillId="0" borderId="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166" fontId="31" fillId="0" borderId="0" applyFont="0" applyFill="0" applyBorder="0" applyAlignment="0" applyProtection="0"/>
    <xf numFmtId="167" fontId="31" fillId="0" borderId="0" applyFont="0" applyFill="0" applyBorder="0" applyAlignment="0" applyProtection="0"/>
    <xf numFmtId="0" fontId="32" fillId="0" borderId="0"/>
    <xf numFmtId="0" fontId="32" fillId="0" borderId="0"/>
    <xf numFmtId="9" fontId="31" fillId="0" borderId="0" applyFon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1" fillId="0" borderId="0"/>
    <xf numFmtId="0" fontId="44" fillId="16" borderId="0" applyNumberFormat="0" applyBorder="0" applyAlignment="0" applyProtection="0"/>
    <xf numFmtId="0" fontId="27" fillId="0" borderId="0"/>
    <xf numFmtId="0" fontId="34" fillId="0" borderId="0"/>
    <xf numFmtId="167" fontId="31" fillId="0" borderId="0" applyFont="0" applyFill="0" applyBorder="0" applyAlignment="0" applyProtection="0"/>
    <xf numFmtId="166" fontId="31" fillId="0" borderId="0" applyFont="0" applyFill="0" applyBorder="0" applyAlignment="0" applyProtection="0"/>
    <xf numFmtId="9" fontId="31" fillId="0" borderId="0" applyFont="0" applyFill="0" applyBorder="0" applyAlignment="0" applyProtection="0"/>
    <xf numFmtId="0" fontId="26" fillId="0" borderId="0"/>
    <xf numFmtId="9" fontId="26" fillId="0" borderId="0" applyFont="0" applyFill="0" applyBorder="0" applyAlignment="0" applyProtection="0"/>
    <xf numFmtId="9" fontId="26" fillId="0" borderId="0" applyFont="0" applyFill="0" applyBorder="0" applyAlignment="0" applyProtection="0"/>
    <xf numFmtId="0" fontId="53" fillId="0" borderId="0"/>
    <xf numFmtId="0" fontId="56" fillId="0" borderId="0" applyNumberFormat="0" applyFill="0" applyBorder="0" applyAlignment="0" applyProtection="0"/>
    <xf numFmtId="0" fontId="54" fillId="0" borderId="0" applyNumberFormat="0" applyFill="0" applyAlignment="0" applyProtection="0"/>
    <xf numFmtId="0" fontId="55" fillId="0" borderId="0" applyNumberFormat="0" applyFill="0" applyAlignment="0" applyProtection="0"/>
    <xf numFmtId="0" fontId="48" fillId="0" borderId="0" applyNumberFormat="0" applyFill="0" applyAlignment="0" applyProtection="0"/>
    <xf numFmtId="0" fontId="48" fillId="0" borderId="0" applyNumberFormat="0" applyFill="0" applyBorder="0" applyAlignment="0" applyProtection="0"/>
    <xf numFmtId="0" fontId="34" fillId="0" borderId="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166" fontId="31" fillId="0" borderId="0" applyFont="0" applyFill="0" applyBorder="0" applyAlignment="0" applyProtection="0"/>
    <xf numFmtId="167" fontId="31" fillId="0" borderId="0" applyFont="0" applyFill="0" applyBorder="0" applyAlignment="0" applyProtection="0"/>
    <xf numFmtId="9" fontId="31" fillId="0" borderId="0" applyFon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4" fillId="0" borderId="0"/>
    <xf numFmtId="166" fontId="31" fillId="0" borderId="0" applyFont="0" applyFill="0" applyBorder="0" applyAlignment="0" applyProtection="0"/>
    <xf numFmtId="167" fontId="31" fillId="0" borderId="0" applyFont="0" applyFill="0" applyBorder="0" applyAlignment="0" applyProtection="0"/>
    <xf numFmtId="9" fontId="31" fillId="0" borderId="0" applyFont="0" applyFill="0" applyBorder="0" applyAlignment="0" applyProtection="0"/>
    <xf numFmtId="0" fontId="24" fillId="0" borderId="0"/>
    <xf numFmtId="0" fontId="24" fillId="0" borderId="0"/>
    <xf numFmtId="9" fontId="24" fillId="0" borderId="0" applyFont="0" applyFill="0" applyBorder="0" applyAlignment="0" applyProtection="0"/>
    <xf numFmtId="9" fontId="24" fillId="0" borderId="0" applyFont="0" applyFill="0" applyBorder="0" applyAlignment="0" applyProtection="0"/>
    <xf numFmtId="0" fontId="24" fillId="0" borderId="0"/>
    <xf numFmtId="0" fontId="24" fillId="0" borderId="0"/>
    <xf numFmtId="9" fontId="24" fillId="0" borderId="0" applyFont="0" applyFill="0" applyBorder="0" applyAlignment="0" applyProtection="0"/>
    <xf numFmtId="9" fontId="24" fillId="0" borderId="0" applyFont="0" applyFill="0" applyBorder="0" applyAlignment="0" applyProtection="0"/>
    <xf numFmtId="0" fontId="34" fillId="0" borderId="0"/>
    <xf numFmtId="166" fontId="31" fillId="0" borderId="0" applyFont="0" applyFill="0" applyBorder="0" applyAlignment="0" applyProtection="0"/>
    <xf numFmtId="167" fontId="31" fillId="0" borderId="0" applyFont="0" applyFill="0" applyBorder="0" applyAlignment="0" applyProtection="0"/>
    <xf numFmtId="9" fontId="31"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0" fontId="34" fillId="0" borderId="0"/>
    <xf numFmtId="166" fontId="31" fillId="0" borderId="0" applyFont="0" applyFill="0" applyBorder="0" applyAlignment="0" applyProtection="0"/>
    <xf numFmtId="167" fontId="31" fillId="0" borderId="0" applyFont="0" applyFill="0" applyBorder="0" applyAlignment="0" applyProtection="0"/>
    <xf numFmtId="9" fontId="31"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62" fillId="0" borderId="0" applyNumberFormat="0" applyFill="0" applyBorder="0" applyAlignment="0" applyProtection="0"/>
    <xf numFmtId="167" fontId="32" fillId="0" borderId="0" applyFont="0" applyFill="0" applyBorder="0" applyAlignment="0" applyProtection="0"/>
    <xf numFmtId="0" fontId="21" fillId="0" borderId="0"/>
    <xf numFmtId="167" fontId="21" fillId="0" borderId="0" applyFont="0" applyFill="0" applyBorder="0" applyAlignment="0" applyProtection="0"/>
    <xf numFmtId="166" fontId="21" fillId="0" borderId="0" applyFont="0" applyFill="0" applyBorder="0" applyAlignment="0" applyProtection="0"/>
    <xf numFmtId="9" fontId="21"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167" fontId="20" fillId="0" borderId="0" applyFont="0" applyFill="0" applyBorder="0" applyAlignment="0" applyProtection="0"/>
    <xf numFmtId="166" fontId="20" fillId="0" borderId="0" applyFont="0" applyFill="0" applyBorder="0" applyAlignment="0" applyProtection="0"/>
    <xf numFmtId="9" fontId="20"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9" fillId="0" borderId="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167" fontId="18" fillId="0" borderId="0" applyFont="0" applyFill="0" applyBorder="0" applyAlignment="0" applyProtection="0"/>
    <xf numFmtId="166"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167" fontId="18" fillId="0" borderId="0" applyFont="0" applyFill="0" applyBorder="0" applyAlignment="0" applyProtection="0"/>
    <xf numFmtId="166" fontId="18" fillId="0" borderId="0" applyFont="0" applyFill="0" applyBorder="0" applyAlignment="0" applyProtection="0"/>
    <xf numFmtId="9" fontId="18" fillId="0" borderId="0" applyFont="0" applyFill="0" applyBorder="0" applyAlignment="0" applyProtection="0"/>
    <xf numFmtId="0" fontId="72" fillId="26" borderId="21" applyNumberFormat="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7"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167" fontId="15" fillId="0" borderId="0" applyFont="0" applyFill="0" applyBorder="0" applyAlignment="0" applyProtection="0"/>
    <xf numFmtId="166"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167" fontId="15" fillId="0" borderId="0" applyFont="0" applyFill="0" applyBorder="0" applyAlignment="0" applyProtection="0"/>
    <xf numFmtId="166"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7"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167" fontId="15" fillId="0" borderId="0" applyFont="0" applyFill="0" applyBorder="0" applyAlignment="0" applyProtection="0"/>
    <xf numFmtId="166"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167" fontId="15" fillId="0" borderId="0" applyFont="0" applyFill="0" applyBorder="0" applyAlignment="0" applyProtection="0"/>
    <xf numFmtId="166" fontId="15" fillId="0" borderId="0" applyFont="0" applyFill="0" applyBorder="0" applyAlignment="0" applyProtection="0"/>
    <xf numFmtId="9" fontId="15" fillId="0" borderId="0" applyFont="0" applyFill="0" applyBorder="0" applyAlignment="0" applyProtection="0"/>
    <xf numFmtId="43" fontId="14" fillId="0" borderId="0" applyFont="0" applyFill="0" applyBorder="0" applyAlignment="0" applyProtection="0"/>
    <xf numFmtId="44" fontId="14" fillId="0" borderId="0" applyFont="0" applyFill="0" applyBorder="0" applyAlignment="0" applyProtection="0"/>
    <xf numFmtId="0" fontId="14" fillId="0" borderId="0"/>
    <xf numFmtId="0" fontId="17"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2"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2"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2"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2"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167"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32"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167" fontId="4" fillId="0" borderId="0" applyFont="0" applyFill="0" applyBorder="0" applyAlignment="0" applyProtection="0"/>
    <xf numFmtId="166" fontId="4" fillId="0" borderId="0" applyFont="0" applyFill="0" applyBorder="0" applyAlignment="0" applyProtection="0"/>
    <xf numFmtId="9" fontId="4" fillId="0" borderId="0" applyFont="0" applyFill="0" applyBorder="0" applyAlignment="0" applyProtection="0"/>
    <xf numFmtId="0" fontId="138" fillId="38" borderId="0" applyNumberFormat="0" applyBorder="0" applyAlignment="0" applyProtection="0"/>
  </cellStyleXfs>
  <cellXfs count="1591">
    <xf numFmtId="0" fontId="0" fillId="0" borderId="0" xfId="0"/>
    <xf numFmtId="0" fontId="0" fillId="0" borderId="0" xfId="0" applyAlignment="1">
      <alignment horizontal="center"/>
    </xf>
    <xf numFmtId="0" fontId="0" fillId="3" borderId="0" xfId="0" applyFill="1" applyAlignment="1">
      <alignment horizontal="center"/>
    </xf>
    <xf numFmtId="0" fontId="0" fillId="3" borderId="0" xfId="0" applyFill="1"/>
    <xf numFmtId="0" fontId="0" fillId="0" borderId="0" xfId="0" applyFill="1"/>
    <xf numFmtId="170" fontId="0" fillId="0" borderId="0" xfId="208" applyNumberFormat="1" applyFont="1" applyFill="1"/>
    <xf numFmtId="0" fontId="0" fillId="0" borderId="0" xfId="0" applyAlignment="1">
      <alignment horizontal="right"/>
    </xf>
    <xf numFmtId="0" fontId="32" fillId="0" borderId="0" xfId="210"/>
    <xf numFmtId="0" fontId="30" fillId="0" borderId="0" xfId="0" applyFont="1"/>
    <xf numFmtId="0" fontId="30" fillId="11" borderId="0" xfId="0" applyFont="1" applyFill="1"/>
    <xf numFmtId="0" fontId="0" fillId="0" borderId="0" xfId="0" applyBorder="1"/>
    <xf numFmtId="0" fontId="38" fillId="14" borderId="0" xfId="0" applyFont="1" applyFill="1" applyBorder="1" applyAlignment="1">
      <alignment vertical="top" wrapText="1"/>
    </xf>
    <xf numFmtId="171" fontId="0" fillId="0" borderId="0" xfId="0" applyNumberFormat="1"/>
    <xf numFmtId="0" fontId="0" fillId="0" borderId="0" xfId="0" applyFill="1" applyAlignment="1">
      <alignment horizontal="center"/>
    </xf>
    <xf numFmtId="0" fontId="30" fillId="0" borderId="0" xfId="0" applyFont="1" applyFill="1"/>
    <xf numFmtId="0" fontId="0" fillId="0" borderId="0" xfId="0" applyFill="1" applyAlignment="1"/>
    <xf numFmtId="0" fontId="30" fillId="0" borderId="0" xfId="0" applyFont="1" applyFill="1" applyAlignment="1">
      <alignment horizontal="center"/>
    </xf>
    <xf numFmtId="0" fontId="30" fillId="0" borderId="0" xfId="0" applyFont="1" applyAlignment="1">
      <alignment horizontal="center"/>
    </xf>
    <xf numFmtId="0" fontId="32" fillId="3" borderId="0" xfId="210" applyFill="1" applyProtection="1">
      <protection hidden="1"/>
    </xf>
    <xf numFmtId="0" fontId="39" fillId="0" borderId="0" xfId="210" applyFont="1" applyAlignment="1" applyProtection="1">
      <alignment horizontal="center"/>
      <protection hidden="1"/>
    </xf>
    <xf numFmtId="0" fontId="32" fillId="3" borderId="0" xfId="210" applyFont="1" applyFill="1" applyAlignment="1" applyProtection="1">
      <alignment horizontal="center"/>
      <protection hidden="1"/>
    </xf>
    <xf numFmtId="0" fontId="0" fillId="3" borderId="0" xfId="0" applyNumberFormat="1" applyFill="1" applyAlignment="1">
      <alignment horizontal="center"/>
    </xf>
    <xf numFmtId="0" fontId="30" fillId="0" borderId="0" xfId="0" applyFont="1" applyAlignment="1">
      <alignment horizontal="left"/>
    </xf>
    <xf numFmtId="0" fontId="30" fillId="9" borderId="0" xfId="0" applyFont="1" applyFill="1"/>
    <xf numFmtId="0" fontId="30" fillId="5" borderId="0" xfId="0" applyFont="1" applyFill="1"/>
    <xf numFmtId="0" fontId="30" fillId="7" borderId="0" xfId="0" applyFont="1" applyFill="1"/>
    <xf numFmtId="0" fontId="30" fillId="12" borderId="0" xfId="0" applyFont="1" applyFill="1"/>
    <xf numFmtId="0" fontId="30" fillId="10" borderId="0" xfId="0" applyFont="1" applyFill="1"/>
    <xf numFmtId="0" fontId="0" fillId="0" borderId="0" xfId="0" applyAlignment="1">
      <alignment horizontal="left"/>
    </xf>
    <xf numFmtId="173" fontId="0" fillId="0" borderId="0" xfId="209" applyNumberFormat="1" applyFont="1"/>
    <xf numFmtId="14" fontId="0" fillId="0" borderId="0" xfId="0" applyNumberFormat="1" applyFill="1" applyAlignment="1">
      <alignment horizontal="left"/>
    </xf>
    <xf numFmtId="14" fontId="0" fillId="0" borderId="0" xfId="0" applyNumberFormat="1" applyFill="1" applyAlignment="1">
      <alignment horizontal="center"/>
    </xf>
    <xf numFmtId="0" fontId="34" fillId="0" borderId="0" xfId="0" applyFont="1" applyAlignment="1">
      <alignment horizontal="right"/>
    </xf>
    <xf numFmtId="0" fontId="34" fillId="0" borderId="0" xfId="0" applyFont="1" applyAlignment="1">
      <alignment horizontal="left"/>
    </xf>
    <xf numFmtId="0" fontId="0" fillId="0" borderId="0" xfId="0" applyFont="1" applyAlignment="1">
      <alignment horizontal="right"/>
    </xf>
    <xf numFmtId="0" fontId="33" fillId="0" borderId="0" xfId="211" applyFont="1" applyFill="1" applyProtection="1">
      <protection hidden="1"/>
    </xf>
    <xf numFmtId="171" fontId="0" fillId="0" borderId="0" xfId="208" applyNumberFormat="1" applyFont="1" applyFill="1" applyBorder="1" applyAlignment="1">
      <alignment horizontal="center"/>
    </xf>
    <xf numFmtId="0" fontId="0" fillId="0" borderId="0" xfId="0" applyFont="1" applyFill="1" applyAlignment="1">
      <alignment horizontal="right"/>
    </xf>
    <xf numFmtId="0" fontId="0" fillId="0" borderId="0" xfId="209" applyNumberFormat="1" applyFont="1" applyFill="1" applyBorder="1" applyAlignment="1">
      <alignment horizontal="center"/>
    </xf>
    <xf numFmtId="0" fontId="0" fillId="0" borderId="0" xfId="0" applyFont="1" applyAlignment="1">
      <alignment horizontal="left"/>
    </xf>
    <xf numFmtId="0" fontId="0" fillId="0" borderId="0" xfId="0" applyFill="1" applyBorder="1"/>
    <xf numFmtId="9" fontId="32" fillId="3" borderId="0" xfId="212" applyFont="1" applyFill="1" applyAlignment="1" applyProtection="1">
      <alignment horizontal="center"/>
      <protection hidden="1"/>
    </xf>
    <xf numFmtId="9" fontId="0" fillId="0" borderId="0" xfId="212" applyFont="1" applyFill="1" applyBorder="1" applyAlignment="1">
      <alignment horizontal="center"/>
    </xf>
    <xf numFmtId="0" fontId="30" fillId="15" borderId="0" xfId="0" applyFont="1" applyFill="1"/>
    <xf numFmtId="170" fontId="0" fillId="0" borderId="0" xfId="208" applyNumberFormat="1" applyFont="1" applyAlignment="1">
      <alignment horizontal="center"/>
    </xf>
    <xf numFmtId="166" fontId="0" fillId="0" borderId="0" xfId="208" applyFont="1"/>
    <xf numFmtId="170" fontId="0" fillId="0" borderId="0" xfId="208" applyNumberFormat="1" applyFont="1"/>
    <xf numFmtId="14" fontId="0" fillId="0" borderId="0" xfId="208" applyNumberFormat="1" applyFont="1"/>
    <xf numFmtId="0" fontId="30" fillId="0" borderId="0" xfId="0" applyFont="1" applyAlignment="1">
      <alignment horizontal="right"/>
    </xf>
    <xf numFmtId="0" fontId="43" fillId="0" borderId="0" xfId="0" applyFont="1" applyFill="1"/>
    <xf numFmtId="0" fontId="30" fillId="0" borderId="0" xfId="0" applyFont="1" applyFill="1" applyAlignment="1">
      <alignment horizontal="left"/>
    </xf>
    <xf numFmtId="0" fontId="39" fillId="0" borderId="0" xfId="211" applyFont="1" applyFill="1" applyBorder="1" applyAlignment="1">
      <alignment horizontal="center"/>
    </xf>
    <xf numFmtId="0" fontId="39" fillId="0" borderId="0" xfId="210" applyFont="1" applyFill="1" applyAlignment="1" applyProtection="1">
      <alignment horizontal="center"/>
      <protection hidden="1"/>
    </xf>
    <xf numFmtId="9" fontId="0" fillId="0" borderId="0" xfId="212" applyFont="1"/>
    <xf numFmtId="10" fontId="0" fillId="0" borderId="0" xfId="212" applyNumberFormat="1" applyFont="1"/>
    <xf numFmtId="0" fontId="0" fillId="0" borderId="0" xfId="0" applyFill="1" applyAlignment="1">
      <alignment horizontal="right"/>
    </xf>
    <xf numFmtId="0" fontId="0" fillId="17" borderId="0" xfId="0" applyFill="1" applyBorder="1"/>
    <xf numFmtId="0" fontId="0" fillId="17" borderId="0" xfId="0" applyFill="1"/>
    <xf numFmtId="0" fontId="34" fillId="17" borderId="0" xfId="0" applyFont="1" applyFill="1" applyAlignment="1">
      <alignment horizontal="right"/>
    </xf>
    <xf numFmtId="171" fontId="0" fillId="17" borderId="0" xfId="208" applyNumberFormat="1" applyFont="1" applyFill="1" applyBorder="1" applyAlignment="1">
      <alignment horizontal="center"/>
    </xf>
    <xf numFmtId="0" fontId="0" fillId="17" borderId="0" xfId="0" applyFont="1" applyFill="1" applyAlignment="1">
      <alignment horizontal="right"/>
    </xf>
    <xf numFmtId="174" fontId="0" fillId="6" borderId="0" xfId="212" applyNumberFormat="1" applyFont="1" applyFill="1" applyBorder="1" applyAlignment="1">
      <alignment horizontal="center"/>
    </xf>
    <xf numFmtId="0" fontId="40" fillId="0" borderId="0" xfId="0" applyFont="1" applyBorder="1" applyAlignment="1">
      <alignment horizontal="center"/>
    </xf>
    <xf numFmtId="167" fontId="0" fillId="0" borderId="0" xfId="209" applyFont="1"/>
    <xf numFmtId="167" fontId="0" fillId="0" borderId="0" xfId="209" applyFont="1" applyAlignment="1">
      <alignment horizontal="right"/>
    </xf>
    <xf numFmtId="167" fontId="0" fillId="10" borderId="0" xfId="209" applyFont="1" applyFill="1"/>
    <xf numFmtId="167" fontId="0" fillId="18" borderId="0" xfId="209" applyFont="1" applyFill="1"/>
    <xf numFmtId="167" fontId="0" fillId="13" borderId="0" xfId="209" applyFont="1" applyFill="1" applyAlignment="1">
      <alignment horizontal="center"/>
    </xf>
    <xf numFmtId="172" fontId="0" fillId="0" borderId="0" xfId="208" applyNumberFormat="1" applyFont="1"/>
    <xf numFmtId="0" fontId="39" fillId="0" borderId="0" xfId="210" applyFont="1" applyFill="1" applyAlignment="1" applyProtection="1">
      <protection hidden="1"/>
    </xf>
    <xf numFmtId="0" fontId="38" fillId="3" borderId="0" xfId="0" applyFont="1" applyFill="1" applyBorder="1" applyAlignment="1">
      <alignment horizontal="center" vertical="center" wrapText="1"/>
    </xf>
    <xf numFmtId="0" fontId="38" fillId="3" borderId="2" xfId="0" applyFont="1" applyFill="1" applyBorder="1" applyAlignment="1">
      <alignment horizontal="center" vertical="center" wrapText="1"/>
    </xf>
    <xf numFmtId="0" fontId="32" fillId="3" borderId="2" xfId="210" applyFill="1" applyBorder="1" applyProtection="1">
      <protection hidden="1"/>
    </xf>
    <xf numFmtId="0" fontId="39" fillId="0" borderId="0" xfId="210" applyFont="1" applyAlignment="1" applyProtection="1">
      <alignment horizontal="center"/>
      <protection hidden="1"/>
    </xf>
    <xf numFmtId="174" fontId="0" fillId="0" borderId="0" xfId="212" applyNumberFormat="1" applyFont="1"/>
    <xf numFmtId="0" fontId="43" fillId="0" borderId="0" xfId="0" applyFont="1" applyFill="1" applyAlignment="1">
      <alignment horizontal="right"/>
    </xf>
    <xf numFmtId="9" fontId="0" fillId="3" borderId="0" xfId="212" applyFont="1" applyFill="1" applyAlignment="1">
      <alignment horizontal="center"/>
    </xf>
    <xf numFmtId="0" fontId="32" fillId="19" borderId="0" xfId="211" applyFont="1" applyFill="1" applyProtection="1">
      <protection hidden="1"/>
    </xf>
    <xf numFmtId="0" fontId="33" fillId="19" borderId="0" xfId="211" applyFont="1" applyFill="1" applyProtection="1">
      <protection hidden="1"/>
    </xf>
    <xf numFmtId="0" fontId="0" fillId="20" borderId="0" xfId="0" applyFill="1"/>
    <xf numFmtId="0" fontId="42" fillId="17" borderId="0" xfId="0" applyFont="1" applyFill="1"/>
    <xf numFmtId="174" fontId="0" fillId="0" borderId="0" xfId="212" applyNumberFormat="1" applyFont="1" applyFill="1" applyBorder="1" applyAlignment="1">
      <alignment horizontal="center"/>
    </xf>
    <xf numFmtId="0" fontId="43" fillId="0" borderId="0" xfId="0" applyFont="1"/>
    <xf numFmtId="0" fontId="42" fillId="0" borderId="0" xfId="0" applyFont="1"/>
    <xf numFmtId="0" fontId="43" fillId="0" borderId="0" xfId="0" applyFont="1" applyAlignment="1">
      <alignment horizontal="right"/>
    </xf>
    <xf numFmtId="0" fontId="43" fillId="17" borderId="0" xfId="0" applyFont="1" applyFill="1" applyAlignment="1">
      <alignment horizontal="right"/>
    </xf>
    <xf numFmtId="0" fontId="0" fillId="0" borderId="0" xfId="0" applyFont="1"/>
    <xf numFmtId="0" fontId="40" fillId="0" borderId="0" xfId="0" applyFont="1"/>
    <xf numFmtId="0" fontId="50" fillId="0" borderId="0" xfId="0" applyFont="1" applyFill="1"/>
    <xf numFmtId="176" fontId="0" fillId="0" borderId="0" xfId="212" applyNumberFormat="1" applyFont="1"/>
    <xf numFmtId="167" fontId="0" fillId="0" borderId="0" xfId="209" applyFont="1" applyAlignment="1">
      <alignment horizontal="center"/>
    </xf>
    <xf numFmtId="174" fontId="0" fillId="3" borderId="0" xfId="212" applyNumberFormat="1" applyFont="1" applyFill="1" applyAlignment="1">
      <alignment horizontal="center"/>
    </xf>
    <xf numFmtId="0" fontId="50" fillId="0" borderId="0" xfId="0" applyFont="1" applyFill="1" applyAlignment="1">
      <alignment horizontal="left"/>
    </xf>
    <xf numFmtId="0" fontId="0" fillId="0" borderId="0" xfId="0" applyFill="1" applyAlignment="1">
      <alignment horizontal="left"/>
    </xf>
    <xf numFmtId="14" fontId="50" fillId="0" borderId="0" xfId="0" applyNumberFormat="1" applyFont="1" applyFill="1" applyAlignment="1">
      <alignment horizontal="left"/>
    </xf>
    <xf numFmtId="0" fontId="51" fillId="19" borderId="0" xfId="211" applyFont="1" applyFill="1" applyProtection="1">
      <protection hidden="1"/>
    </xf>
    <xf numFmtId="0" fontId="51" fillId="0" borderId="0" xfId="211" applyFont="1" applyFill="1" applyProtection="1">
      <protection hidden="1"/>
    </xf>
    <xf numFmtId="9" fontId="50" fillId="0" borderId="0" xfId="212" applyFont="1" applyFill="1" applyBorder="1" applyAlignment="1">
      <alignment horizontal="center"/>
    </xf>
    <xf numFmtId="0" fontId="50" fillId="0" borderId="0" xfId="0" applyFont="1"/>
    <xf numFmtId="171" fontId="0" fillId="0" borderId="0" xfId="212" applyNumberFormat="1" applyFont="1"/>
    <xf numFmtId="0" fontId="0" fillId="0" borderId="0" xfId="0" applyFont="1" applyFill="1" applyAlignment="1">
      <alignment horizontal="left"/>
    </xf>
    <xf numFmtId="167" fontId="0" fillId="13" borderId="0" xfId="209" applyFont="1" applyFill="1" applyAlignment="1">
      <alignment horizontal="left"/>
    </xf>
    <xf numFmtId="0" fontId="0" fillId="0" borderId="0" xfId="0" applyFont="1" applyFill="1"/>
    <xf numFmtId="0" fontId="35" fillId="21" borderId="0" xfId="226" applyFont="1" applyFill="1"/>
    <xf numFmtId="0" fontId="0" fillId="0" borderId="0" xfId="0" applyFill="1" applyAlignment="1">
      <alignment horizontal="left"/>
    </xf>
    <xf numFmtId="0" fontId="50" fillId="0" borderId="0" xfId="0" applyFont="1" applyFill="1" applyAlignment="1">
      <alignment horizontal="left"/>
    </xf>
    <xf numFmtId="166" fontId="0" fillId="0" borderId="0" xfId="208" applyFont="1" applyFill="1" applyBorder="1" applyAlignment="1">
      <alignment horizontal="right"/>
    </xf>
    <xf numFmtId="0" fontId="0" fillId="3" borderId="0" xfId="209" applyNumberFormat="1" applyFont="1" applyFill="1" applyAlignment="1">
      <alignment horizontal="center"/>
    </xf>
    <xf numFmtId="9" fontId="0" fillId="3" borderId="0" xfId="209" applyNumberFormat="1" applyFont="1" applyFill="1" applyAlignment="1">
      <alignment horizontal="center"/>
    </xf>
    <xf numFmtId="0" fontId="50" fillId="0" borderId="0" xfId="0" applyFont="1" applyFill="1" applyAlignment="1">
      <alignment horizontal="left"/>
    </xf>
    <xf numFmtId="166" fontId="0" fillId="10" borderId="0" xfId="208" applyFont="1" applyFill="1"/>
    <xf numFmtId="0" fontId="0" fillId="0" borderId="0" xfId="0" applyAlignment="1"/>
    <xf numFmtId="0" fontId="30" fillId="0" borderId="0" xfId="0" applyFont="1" applyAlignment="1"/>
    <xf numFmtId="0" fontId="40" fillId="0" borderId="0" xfId="0" applyFont="1" applyAlignment="1">
      <alignment horizontal="center"/>
    </xf>
    <xf numFmtId="166" fontId="0" fillId="18" borderId="0" xfId="208" applyFont="1" applyFill="1"/>
    <xf numFmtId="166" fontId="40" fillId="0" borderId="0" xfId="208" applyFont="1" applyBorder="1" applyAlignment="1">
      <alignment horizontal="center"/>
    </xf>
    <xf numFmtId="2" fontId="0" fillId="0" borderId="0" xfId="0" applyNumberFormat="1" applyFont="1" applyAlignment="1">
      <alignment horizontal="center"/>
    </xf>
    <xf numFmtId="171" fontId="0" fillId="0" borderId="0" xfId="0" applyNumberFormat="1" applyFont="1"/>
    <xf numFmtId="0" fontId="0" fillId="0" borderId="0" xfId="0" applyFont="1" applyAlignment="1">
      <alignment horizontal="center"/>
    </xf>
    <xf numFmtId="0" fontId="0" fillId="7" borderId="0" xfId="0" applyFont="1" applyFill="1"/>
    <xf numFmtId="0" fontId="40" fillId="0" borderId="0" xfId="0" applyFont="1" applyFill="1" applyAlignment="1">
      <alignment horizontal="center"/>
    </xf>
    <xf numFmtId="173" fontId="40" fillId="0" borderId="0" xfId="209" applyNumberFormat="1" applyFont="1" applyFill="1" applyAlignment="1">
      <alignment horizontal="right"/>
    </xf>
    <xf numFmtId="0" fontId="0" fillId="13" borderId="0" xfId="0" applyFont="1" applyFill="1" applyAlignment="1">
      <alignment horizontal="center"/>
    </xf>
    <xf numFmtId="170" fontId="0" fillId="0" borderId="0" xfId="658" applyNumberFormat="1" applyFont="1" applyFill="1"/>
    <xf numFmtId="166" fontId="0" fillId="0" borderId="0" xfId="208" applyFont="1" applyAlignment="1">
      <alignment horizontal="right"/>
    </xf>
    <xf numFmtId="172" fontId="0" fillId="0" borderId="0" xfId="208" applyNumberFormat="1" applyFont="1" applyFill="1"/>
    <xf numFmtId="14" fontId="0" fillId="0" borderId="0" xfId="208" applyNumberFormat="1" applyFont="1" applyFill="1"/>
    <xf numFmtId="170" fontId="43" fillId="0" borderId="0" xfId="208" applyNumberFormat="1" applyFont="1" applyFill="1"/>
    <xf numFmtId="0" fontId="40" fillId="0" borderId="0" xfId="0" applyFont="1" applyFill="1" applyAlignment="1">
      <alignment horizontal="center" wrapText="1"/>
    </xf>
    <xf numFmtId="9" fontId="0" fillId="0" borderId="0" xfId="212" applyFont="1" applyFill="1" applyAlignment="1">
      <alignment horizontal="center"/>
    </xf>
    <xf numFmtId="176" fontId="0" fillId="0" borderId="0" xfId="212" applyNumberFormat="1" applyFont="1" applyFill="1" applyAlignment="1">
      <alignment horizontal="center"/>
    </xf>
    <xf numFmtId="0" fontId="0" fillId="0" borderId="0" xfId="0" applyFont="1" applyFill="1" applyAlignment="1">
      <alignment horizontal="center"/>
    </xf>
    <xf numFmtId="173" fontId="0" fillId="0" borderId="0" xfId="209" applyNumberFormat="1" applyFont="1" applyFill="1" applyAlignment="1">
      <alignment horizontal="center"/>
    </xf>
    <xf numFmtId="14" fontId="0" fillId="0" borderId="0" xfId="0" applyNumberFormat="1" applyFont="1" applyFill="1" applyAlignment="1">
      <alignment horizontal="center"/>
    </xf>
    <xf numFmtId="14" fontId="0" fillId="0" borderId="0" xfId="0" applyNumberFormat="1" applyFont="1" applyFill="1"/>
    <xf numFmtId="170" fontId="30" fillId="0" borderId="0" xfId="208" applyNumberFormat="1" applyFont="1" applyFill="1"/>
    <xf numFmtId="0" fontId="0" fillId="10" borderId="0" xfId="0" applyFont="1" applyFill="1"/>
    <xf numFmtId="1" fontId="0" fillId="0" borderId="0" xfId="0" applyNumberFormat="1" applyFont="1" applyAlignment="1">
      <alignment horizontal="right"/>
    </xf>
    <xf numFmtId="172" fontId="0" fillId="0" borderId="0" xfId="0" applyNumberFormat="1" applyFont="1"/>
    <xf numFmtId="14" fontId="0" fillId="0" borderId="0" xfId="0" applyNumberFormat="1" applyFont="1"/>
    <xf numFmtId="0" fontId="0" fillId="11" borderId="0" xfId="0" applyFont="1" applyFill="1"/>
    <xf numFmtId="168" fontId="0" fillId="0" borderId="0" xfId="0" applyNumberFormat="1" applyFont="1"/>
    <xf numFmtId="167" fontId="0" fillId="0" borderId="0" xfId="209" applyFont="1" applyFill="1"/>
    <xf numFmtId="14" fontId="0" fillId="0" borderId="0" xfId="0" applyNumberFormat="1" applyFont="1" applyAlignment="1">
      <alignment horizontal="center"/>
    </xf>
    <xf numFmtId="0" fontId="0" fillId="18" borderId="0" xfId="0" applyFont="1" applyFill="1"/>
    <xf numFmtId="166" fontId="0" fillId="0" borderId="0" xfId="0" applyNumberFormat="1" applyFont="1"/>
    <xf numFmtId="166" fontId="0" fillId="0" borderId="0" xfId="208" applyFont="1" applyFill="1"/>
    <xf numFmtId="170" fontId="43" fillId="0" borderId="0" xfId="208" applyNumberFormat="1" applyFont="1"/>
    <xf numFmtId="0" fontId="30" fillId="10" borderId="0" xfId="0" applyFont="1" applyFill="1" applyAlignment="1">
      <alignment horizontal="left" vertical="center"/>
    </xf>
    <xf numFmtId="170" fontId="0" fillId="0" borderId="0" xfId="658" applyNumberFormat="1" applyFont="1"/>
    <xf numFmtId="0" fontId="30" fillId="0" borderId="0" xfId="0" applyFont="1" applyFill="1" applyAlignment="1">
      <alignment horizontal="right"/>
    </xf>
    <xf numFmtId="166" fontId="0" fillId="13" borderId="0" xfId="208" applyFont="1" applyFill="1" applyAlignment="1">
      <alignment horizontal="center"/>
    </xf>
    <xf numFmtId="10" fontId="0" fillId="0" borderId="0" xfId="212" applyNumberFormat="1" applyFont="1" applyFill="1"/>
    <xf numFmtId="170" fontId="34" fillId="0" borderId="0" xfId="208" applyNumberFormat="1" applyFont="1" applyFill="1"/>
    <xf numFmtId="166" fontId="0" fillId="0" borderId="0" xfId="208" applyFont="1" applyFill="1" applyAlignment="1">
      <alignment horizontal="center"/>
    </xf>
    <xf numFmtId="0" fontId="40" fillId="0" borderId="0" xfId="0" applyFont="1" applyAlignment="1">
      <alignment horizontal="center"/>
    </xf>
    <xf numFmtId="0" fontId="30" fillId="22" borderId="0" xfId="0" applyFont="1" applyFill="1"/>
    <xf numFmtId="10" fontId="0" fillId="0" borderId="0" xfId="212" applyNumberFormat="1" applyFont="1" applyAlignment="1">
      <alignment horizontal="right"/>
    </xf>
    <xf numFmtId="10" fontId="0" fillId="10" borderId="0" xfId="212" applyNumberFormat="1" applyFont="1" applyFill="1"/>
    <xf numFmtId="10" fontId="0" fillId="18" borderId="0" xfId="212" applyNumberFormat="1" applyFont="1" applyFill="1"/>
    <xf numFmtId="10" fontId="0" fillId="13" borderId="0" xfId="212" applyNumberFormat="1" applyFont="1" applyFill="1" applyAlignment="1">
      <alignment horizontal="left"/>
    </xf>
    <xf numFmtId="166" fontId="0" fillId="10" borderId="0" xfId="208" applyFont="1" applyFill="1" applyAlignment="1">
      <alignment horizontal="center"/>
    </xf>
    <xf numFmtId="166" fontId="0" fillId="0" borderId="0" xfId="208" applyFont="1" applyAlignment="1">
      <alignment horizontal="center"/>
    </xf>
    <xf numFmtId="166" fontId="30" fillId="4" borderId="0" xfId="208" applyFont="1" applyFill="1" applyAlignment="1">
      <alignment horizontal="center"/>
    </xf>
    <xf numFmtId="166" fontId="40" fillId="0" borderId="0" xfId="208" applyFont="1" applyAlignment="1">
      <alignment horizontal="center"/>
    </xf>
    <xf numFmtId="166" fontId="34" fillId="0" borderId="0" xfId="208" applyFont="1" applyFill="1"/>
    <xf numFmtId="166" fontId="30" fillId="22" borderId="0" xfId="208" applyFont="1" applyFill="1"/>
    <xf numFmtId="0" fontId="0" fillId="0" borderId="0" xfId="0" applyFill="1" applyAlignment="1">
      <alignment horizontal="left"/>
    </xf>
    <xf numFmtId="167" fontId="0" fillId="2" borderId="4" xfId="209" applyFont="1" applyFill="1" applyBorder="1"/>
    <xf numFmtId="10" fontId="0" fillId="2" borderId="5" xfId="212" applyNumberFormat="1" applyFont="1" applyFill="1" applyBorder="1"/>
    <xf numFmtId="167" fontId="0" fillId="2" borderId="6" xfId="209" applyFont="1" applyFill="1" applyBorder="1"/>
    <xf numFmtId="10" fontId="0" fillId="2" borderId="7" xfId="212" applyNumberFormat="1" applyFont="1" applyFill="1" applyBorder="1"/>
    <xf numFmtId="167" fontId="0" fillId="2" borderId="6" xfId="209" applyFont="1" applyFill="1" applyBorder="1" applyAlignment="1">
      <alignment horizontal="left"/>
    </xf>
    <xf numFmtId="167" fontId="0" fillId="2" borderId="7" xfId="209" applyFont="1" applyFill="1" applyBorder="1" applyAlignment="1">
      <alignment horizontal="left"/>
    </xf>
    <xf numFmtId="167" fontId="34" fillId="2" borderId="7" xfId="209" applyFont="1" applyFill="1" applyBorder="1" applyAlignment="1">
      <alignment horizontal="left"/>
    </xf>
    <xf numFmtId="167" fontId="0" fillId="2" borderId="8" xfId="209" applyFont="1" applyFill="1" applyBorder="1"/>
    <xf numFmtId="167" fontId="0" fillId="0" borderId="0" xfId="209" applyFont="1" applyFill="1" applyAlignment="1">
      <alignment horizontal="center"/>
    </xf>
    <xf numFmtId="0" fontId="40" fillId="0" borderId="0" xfId="0" applyFont="1" applyAlignment="1">
      <alignment horizontal="right"/>
    </xf>
    <xf numFmtId="166" fontId="40" fillId="0" borderId="0" xfId="208" applyFont="1"/>
    <xf numFmtId="170" fontId="40" fillId="0" borderId="0" xfId="208" applyNumberFormat="1" applyFont="1" applyAlignment="1">
      <alignment horizontal="center"/>
    </xf>
    <xf numFmtId="0" fontId="40" fillId="0" borderId="0" xfId="0" applyFont="1" applyBorder="1" applyAlignment="1">
      <alignment horizontal="right"/>
    </xf>
    <xf numFmtId="170" fontId="40" fillId="0" borderId="3" xfId="208" applyNumberFormat="1" applyFont="1" applyBorder="1" applyAlignment="1">
      <alignment horizontal="center"/>
    </xf>
    <xf numFmtId="166" fontId="30" fillId="0" borderId="0" xfId="208" applyFont="1" applyAlignment="1">
      <alignment horizontal="center"/>
    </xf>
    <xf numFmtId="10" fontId="0" fillId="2" borderId="9" xfId="212" applyNumberFormat="1" applyFont="1" applyFill="1" applyBorder="1"/>
    <xf numFmtId="167" fontId="34" fillId="2" borderId="7" xfId="209" applyFont="1" applyFill="1" applyBorder="1" applyAlignment="1">
      <alignment horizontal="center"/>
    </xf>
    <xf numFmtId="10" fontId="0" fillId="0" borderId="0" xfId="212" applyNumberFormat="1" applyFont="1" applyFill="1" applyAlignment="1">
      <alignment horizontal="center"/>
    </xf>
    <xf numFmtId="9" fontId="0" fillId="6" borderId="0" xfId="0" applyNumberFormat="1" applyFill="1" applyAlignment="1">
      <alignment horizontal="center"/>
    </xf>
    <xf numFmtId="166" fontId="0" fillId="2" borderId="7" xfId="208" applyFont="1" applyFill="1" applyBorder="1" applyAlignment="1">
      <alignment horizontal="left"/>
    </xf>
    <xf numFmtId="166" fontId="0" fillId="2" borderId="7" xfId="208" applyFont="1" applyFill="1" applyBorder="1" applyAlignment="1">
      <alignment horizontal="center"/>
    </xf>
    <xf numFmtId="0" fontId="0" fillId="0" borderId="0" xfId="0" applyFill="1" applyAlignment="1">
      <alignment horizontal="left"/>
    </xf>
    <xf numFmtId="0" fontId="0" fillId="0" borderId="0" xfId="0" applyFill="1" applyAlignment="1">
      <alignment horizontal="left"/>
    </xf>
    <xf numFmtId="0" fontId="50" fillId="0" borderId="0" xfId="0" applyFont="1" applyFill="1" applyAlignment="1">
      <alignment horizontal="left"/>
    </xf>
    <xf numFmtId="0" fontId="45" fillId="20" borderId="0" xfId="0" applyFont="1" applyFill="1"/>
    <xf numFmtId="0" fontId="43" fillId="17" borderId="0" xfId="0" applyFont="1" applyFill="1"/>
    <xf numFmtId="0" fontId="59" fillId="0" borderId="0" xfId="0" applyFont="1" applyAlignment="1">
      <alignment horizontal="right"/>
    </xf>
    <xf numFmtId="0" fontId="0" fillId="11" borderId="0" xfId="209" applyNumberFormat="1" applyFont="1" applyFill="1" applyBorder="1" applyAlignment="1">
      <alignment horizontal="center"/>
    </xf>
    <xf numFmtId="10" fontId="34" fillId="0" borderId="0" xfId="212" applyNumberFormat="1" applyFont="1" applyFill="1"/>
    <xf numFmtId="0" fontId="40" fillId="0" borderId="0" xfId="0" applyFont="1" applyAlignment="1">
      <alignment horizontal="center"/>
    </xf>
    <xf numFmtId="0" fontId="0" fillId="0" borderId="0" xfId="0" applyFill="1" applyAlignment="1">
      <alignment horizontal="left"/>
    </xf>
    <xf numFmtId="0" fontId="50" fillId="0" borderId="0" xfId="0" applyFont="1" applyFill="1" applyAlignment="1">
      <alignment horizontal="left"/>
    </xf>
    <xf numFmtId="176" fontId="0" fillId="0" borderId="0" xfId="212" applyNumberFormat="1" applyFont="1" applyFill="1"/>
    <xf numFmtId="10" fontId="40" fillId="13" borderId="0" xfId="212" applyNumberFormat="1" applyFont="1" applyFill="1" applyAlignment="1">
      <alignment horizontal="center"/>
    </xf>
    <xf numFmtId="0" fontId="0" fillId="0" borderId="0" xfId="0" applyFont="1" applyFill="1" applyBorder="1" applyAlignment="1">
      <alignment horizontal="left"/>
    </xf>
    <xf numFmtId="10" fontId="0" fillId="23" borderId="0" xfId="212" applyNumberFormat="1" applyFont="1" applyFill="1"/>
    <xf numFmtId="10" fontId="0" fillId="23" borderId="0" xfId="212" applyNumberFormat="1" applyFont="1" applyFill="1" applyAlignment="1">
      <alignment horizontal="center"/>
    </xf>
    <xf numFmtId="10" fontId="0" fillId="6" borderId="0" xfId="212" applyNumberFormat="1" applyFont="1" applyFill="1"/>
    <xf numFmtId="0" fontId="0" fillId="6" borderId="0" xfId="0" applyFont="1" applyFill="1"/>
    <xf numFmtId="171" fontId="0" fillId="6" borderId="0" xfId="0" applyNumberFormat="1" applyFont="1" applyFill="1"/>
    <xf numFmtId="173" fontId="0" fillId="6" borderId="0" xfId="209" applyNumberFormat="1" applyFont="1" applyFill="1"/>
    <xf numFmtId="14" fontId="0" fillId="6" borderId="0" xfId="208" applyNumberFormat="1" applyFont="1" applyFill="1"/>
    <xf numFmtId="172" fontId="0" fillId="6" borderId="0" xfId="208" applyNumberFormat="1" applyFont="1" applyFill="1"/>
    <xf numFmtId="170" fontId="0" fillId="6" borderId="0" xfId="208" applyNumberFormat="1" applyFont="1" applyFill="1"/>
    <xf numFmtId="166" fontId="0" fillId="6" borderId="0" xfId="208" applyFont="1" applyFill="1"/>
    <xf numFmtId="166" fontId="0" fillId="6" borderId="0" xfId="208" applyFont="1" applyFill="1" applyAlignment="1">
      <alignment horizontal="center"/>
    </xf>
    <xf numFmtId="167" fontId="0" fillId="6" borderId="0" xfId="209" applyFont="1" applyFill="1"/>
    <xf numFmtId="176" fontId="0" fillId="6" borderId="0" xfId="212" applyNumberFormat="1" applyFont="1" applyFill="1"/>
    <xf numFmtId="9" fontId="0" fillId="6" borderId="0" xfId="212" applyFont="1" applyFill="1"/>
    <xf numFmtId="167" fontId="40" fillId="13" borderId="0" xfId="209" applyFont="1" applyFill="1" applyAlignment="1">
      <alignment horizontal="center"/>
    </xf>
    <xf numFmtId="176" fontId="0" fillId="0" borderId="0" xfId="0" applyNumberFormat="1" applyFont="1"/>
    <xf numFmtId="176" fontId="34" fillId="0" borderId="0" xfId="212" applyNumberFormat="1" applyFont="1" applyFill="1"/>
    <xf numFmtId="176" fontId="34" fillId="0" borderId="0" xfId="212" applyNumberFormat="1" applyFont="1"/>
    <xf numFmtId="176" fontId="34" fillId="6" borderId="0" xfId="212" applyNumberFormat="1" applyFont="1" applyFill="1"/>
    <xf numFmtId="171" fontId="0" fillId="11" borderId="0" xfId="208" applyNumberFormat="1" applyFont="1" applyFill="1" applyBorder="1" applyAlignment="1">
      <alignment horizontal="center"/>
    </xf>
    <xf numFmtId="0" fontId="48" fillId="0" borderId="0" xfId="211" applyFont="1" applyFill="1" applyAlignment="1" applyProtection="1">
      <alignment horizontal="center"/>
      <protection hidden="1"/>
    </xf>
    <xf numFmtId="0" fontId="0" fillId="17" borderId="0" xfId="0" applyFont="1" applyFill="1"/>
    <xf numFmtId="0" fontId="42" fillId="17" borderId="0" xfId="0" applyFont="1" applyFill="1" applyAlignment="1">
      <alignment horizontal="right"/>
    </xf>
    <xf numFmtId="0" fontId="35" fillId="20" borderId="0" xfId="0" applyFont="1" applyFill="1" applyAlignment="1">
      <alignment horizontal="left"/>
    </xf>
    <xf numFmtId="166" fontId="40" fillId="0" borderId="0" xfId="208" applyFont="1" applyAlignment="1"/>
    <xf numFmtId="0" fontId="43" fillId="0" borderId="0" xfId="0" applyFont="1" applyFill="1" applyAlignment="1">
      <alignment horizontal="left"/>
    </xf>
    <xf numFmtId="0" fontId="43" fillId="0" borderId="0" xfId="0" applyFont="1" applyAlignment="1">
      <alignment horizontal="left"/>
    </xf>
    <xf numFmtId="166" fontId="0" fillId="0" borderId="0" xfId="208" applyFont="1" applyFill="1" applyAlignment="1">
      <alignment wrapText="1"/>
    </xf>
    <xf numFmtId="166" fontId="0" fillId="0" borderId="0" xfId="208" applyFont="1" applyFill="1" applyAlignment="1"/>
    <xf numFmtId="10" fontId="43" fillId="0" borderId="0" xfId="212" applyNumberFormat="1" applyFont="1" applyFill="1"/>
    <xf numFmtId="0" fontId="45" fillId="0" borderId="0" xfId="0" applyFont="1" applyFill="1"/>
    <xf numFmtId="0" fontId="45" fillId="0" borderId="0" xfId="0" applyFont="1"/>
    <xf numFmtId="10" fontId="0" fillId="2" borderId="8" xfId="212" applyNumberFormat="1" applyFont="1" applyFill="1" applyBorder="1"/>
    <xf numFmtId="167" fontId="0" fillId="2" borderId="7" xfId="209" applyFont="1" applyFill="1" applyBorder="1"/>
    <xf numFmtId="166" fontId="0" fillId="2" borderId="7" xfId="208" applyFont="1" applyFill="1" applyBorder="1"/>
    <xf numFmtId="10" fontId="0" fillId="0" borderId="0" xfId="212" applyNumberFormat="1" applyFont="1" applyBorder="1"/>
    <xf numFmtId="0" fontId="0" fillId="0" borderId="0" xfId="0" applyAlignment="1">
      <alignment horizontal="right"/>
    </xf>
    <xf numFmtId="0" fontId="0" fillId="0" borderId="0" xfId="0" applyFill="1" applyAlignment="1">
      <alignment horizontal="center"/>
    </xf>
    <xf numFmtId="1" fontId="0" fillId="0" borderId="0" xfId="0" applyNumberFormat="1"/>
    <xf numFmtId="0" fontId="0" fillId="0" borderId="0" xfId="0" applyAlignment="1">
      <alignment horizontal="right"/>
    </xf>
    <xf numFmtId="0" fontId="0" fillId="12" borderId="0" xfId="0" applyFont="1" applyFill="1" applyAlignment="1">
      <alignment horizontal="center"/>
    </xf>
    <xf numFmtId="171" fontId="0" fillId="0" borderId="0" xfId="208" applyNumberFormat="1" applyFont="1" applyAlignment="1">
      <alignment horizontal="right"/>
    </xf>
    <xf numFmtId="171" fontId="0" fillId="10" borderId="0" xfId="208" applyNumberFormat="1" applyFont="1" applyFill="1"/>
    <xf numFmtId="171" fontId="0" fillId="0" borderId="0" xfId="208" applyNumberFormat="1" applyFont="1"/>
    <xf numFmtId="171" fontId="30" fillId="22" borderId="0" xfId="212" applyNumberFormat="1" applyFont="1" applyFill="1"/>
    <xf numFmtId="171" fontId="40" fillId="0" borderId="0" xfId="212" applyNumberFormat="1" applyFont="1" applyFill="1" applyAlignment="1">
      <alignment horizontal="center"/>
    </xf>
    <xf numFmtId="171" fontId="34" fillId="0" borderId="0" xfId="212" applyNumberFormat="1" applyFont="1" applyFill="1"/>
    <xf numFmtId="171" fontId="0" fillId="0" borderId="0" xfId="212" applyNumberFormat="1" applyFont="1" applyFill="1"/>
    <xf numFmtId="171" fontId="0" fillId="6" borderId="0" xfId="212" applyNumberFormat="1" applyFont="1" applyFill="1"/>
    <xf numFmtId="0" fontId="50" fillId="0" borderId="0" xfId="0" applyFont="1" applyFill="1" applyAlignment="1">
      <alignment horizontal="left"/>
    </xf>
    <xf numFmtId="10" fontId="0" fillId="0" borderId="0" xfId="0" applyNumberFormat="1" applyFont="1"/>
    <xf numFmtId="174" fontId="0" fillId="0" borderId="0" xfId="0" applyNumberFormat="1" applyFont="1"/>
    <xf numFmtId="0" fontId="32" fillId="0" borderId="0" xfId="211" applyFont="1" applyFill="1" applyProtection="1">
      <protection hidden="1"/>
    </xf>
    <xf numFmtId="0" fontId="44" fillId="0" borderId="0" xfId="217" applyFont="1" applyFill="1"/>
    <xf numFmtId="0" fontId="44" fillId="0" borderId="0" xfId="217" applyFill="1"/>
    <xf numFmtId="0" fontId="52" fillId="0" borderId="0" xfId="217" applyFont="1" applyFill="1"/>
    <xf numFmtId="0" fontId="34" fillId="0" borderId="0" xfId="0" applyFont="1" applyFill="1"/>
    <xf numFmtId="0" fontId="60" fillId="19" borderId="0" xfId="211" applyFont="1" applyFill="1" applyProtection="1">
      <protection hidden="1"/>
    </xf>
    <xf numFmtId="0" fontId="35" fillId="0" borderId="0" xfId="0" applyFont="1" applyFill="1" applyAlignment="1">
      <alignment horizontal="left"/>
    </xf>
    <xf numFmtId="174" fontId="43" fillId="11" borderId="0" xfId="212" applyNumberFormat="1" applyFont="1" applyFill="1" applyAlignment="1" applyProtection="1">
      <alignment horizontal="center"/>
      <protection hidden="1"/>
    </xf>
    <xf numFmtId="174" fontId="43" fillId="11" borderId="3" xfId="212" applyNumberFormat="1" applyFont="1" applyFill="1" applyBorder="1" applyAlignment="1" applyProtection="1">
      <alignment horizontal="center"/>
      <protection hidden="1"/>
    </xf>
    <xf numFmtId="0" fontId="49" fillId="19" borderId="0" xfId="211" applyFont="1" applyFill="1" applyAlignment="1" applyProtection="1">
      <alignment vertical="center"/>
      <protection hidden="1"/>
    </xf>
    <xf numFmtId="0" fontId="33" fillId="19" borderId="0" xfId="211" applyFont="1" applyFill="1" applyAlignment="1" applyProtection="1">
      <alignment vertical="center"/>
      <protection hidden="1"/>
    </xf>
    <xf numFmtId="0" fontId="33" fillId="0" borderId="0" xfId="211" applyFont="1" applyFill="1" applyAlignment="1" applyProtection="1">
      <alignment vertical="center"/>
      <protection hidden="1"/>
    </xf>
    <xf numFmtId="0" fontId="0" fillId="0" borderId="0" xfId="0" applyAlignment="1">
      <alignment vertical="center"/>
    </xf>
    <xf numFmtId="171" fontId="0" fillId="0" borderId="0" xfId="0" applyNumberFormat="1" applyFont="1" applyFill="1"/>
    <xf numFmtId="0" fontId="38" fillId="0" borderId="0" xfId="0" applyFont="1" applyFill="1" applyBorder="1" applyAlignment="1">
      <alignment horizontal="center" vertical="center" wrapText="1"/>
    </xf>
    <xf numFmtId="0" fontId="61" fillId="0" borderId="0" xfId="217" applyFont="1" applyFill="1"/>
    <xf numFmtId="0" fontId="42" fillId="0" borderId="0" xfId="0" applyFont="1" applyAlignment="1">
      <alignment horizontal="center"/>
    </xf>
    <xf numFmtId="0" fontId="42" fillId="0" borderId="0" xfId="0" applyFont="1" applyAlignment="1">
      <alignment horizontal="right"/>
    </xf>
    <xf numFmtId="0" fontId="30" fillId="18" borderId="0" xfId="0" applyFont="1" applyFill="1"/>
    <xf numFmtId="10" fontId="0" fillId="3" borderId="0" xfId="212" applyNumberFormat="1" applyFont="1" applyFill="1" applyAlignment="1">
      <alignment horizontal="center"/>
    </xf>
    <xf numFmtId="0" fontId="40" fillId="0" borderId="0" xfId="0" applyFont="1" applyAlignment="1">
      <alignment horizontal="center"/>
    </xf>
    <xf numFmtId="0" fontId="40" fillId="0" borderId="0" xfId="0" applyFont="1" applyAlignment="1">
      <alignment horizontal="center"/>
    </xf>
    <xf numFmtId="170" fontId="0" fillId="0" borderId="0" xfId="0" applyNumberFormat="1" applyFont="1" applyFill="1"/>
    <xf numFmtId="0" fontId="30" fillId="2" borderId="0" xfId="0" applyFont="1" applyFill="1"/>
    <xf numFmtId="0" fontId="30" fillId="2" borderId="0" xfId="0" applyFont="1" applyFill="1" applyAlignment="1">
      <alignment horizontal="right"/>
    </xf>
    <xf numFmtId="0" fontId="30" fillId="4" borderId="0" xfId="0" applyFont="1" applyFill="1"/>
    <xf numFmtId="0" fontId="30" fillId="12" borderId="16" xfId="0" applyFont="1" applyFill="1" applyBorder="1"/>
    <xf numFmtId="0" fontId="0" fillId="12" borderId="15" xfId="0" applyFont="1" applyFill="1" applyBorder="1"/>
    <xf numFmtId="0" fontId="0" fillId="12" borderId="14" xfId="0" applyFont="1" applyFill="1" applyBorder="1"/>
    <xf numFmtId="0" fontId="30" fillId="12" borderId="14" xfId="0" applyFont="1" applyFill="1" applyBorder="1"/>
    <xf numFmtId="0" fontId="0" fillId="12" borderId="13" xfId="0" applyFont="1" applyFill="1" applyBorder="1"/>
    <xf numFmtId="0" fontId="40" fillId="0" borderId="0" xfId="0" applyFont="1" applyAlignment="1">
      <alignment horizontal="center"/>
    </xf>
    <xf numFmtId="0" fontId="62" fillId="21" borderId="0" xfId="725" applyFill="1"/>
    <xf numFmtId="0" fontId="0" fillId="12" borderId="0" xfId="0" applyFont="1" applyFill="1" applyBorder="1"/>
    <xf numFmtId="0" fontId="30" fillId="12" borderId="0" xfId="0" applyFont="1" applyFill="1" applyBorder="1"/>
    <xf numFmtId="0" fontId="0" fillId="10" borderId="0" xfId="0" applyFont="1" applyFill="1" applyAlignment="1">
      <alignment horizontal="right"/>
    </xf>
    <xf numFmtId="0" fontId="0" fillId="10" borderId="0" xfId="0" applyFont="1" applyFill="1" applyAlignment="1">
      <alignment horizontal="left"/>
    </xf>
    <xf numFmtId="0" fontId="0" fillId="0" borderId="0" xfId="0" applyFont="1" applyAlignment="1">
      <alignment horizontal="center" wrapText="1"/>
    </xf>
    <xf numFmtId="0" fontId="0" fillId="0" borderId="0" xfId="0" applyFont="1" applyAlignment="1">
      <alignment horizontal="center" vertical="center"/>
    </xf>
    <xf numFmtId="0" fontId="0" fillId="0" borderId="0" xfId="0" applyFont="1" applyAlignment="1">
      <alignment horizontal="center" vertical="center" wrapText="1"/>
    </xf>
    <xf numFmtId="0" fontId="50" fillId="0" borderId="0" xfId="0" applyFont="1" applyFill="1" applyAlignment="1">
      <alignment horizontal="left"/>
    </xf>
    <xf numFmtId="171" fontId="0" fillId="17" borderId="0" xfId="0" applyNumberFormat="1" applyFont="1" applyFill="1"/>
    <xf numFmtId="166" fontId="0" fillId="0" borderId="0" xfId="0" applyNumberFormat="1" applyFont="1" applyAlignment="1">
      <alignment horizontal="right"/>
    </xf>
    <xf numFmtId="166" fontId="0" fillId="10" borderId="0" xfId="0" applyNumberFormat="1" applyFont="1" applyFill="1"/>
    <xf numFmtId="166" fontId="0" fillId="0" borderId="0" xfId="0" applyNumberFormat="1" applyFont="1" applyAlignment="1">
      <alignment horizontal="center"/>
    </xf>
    <xf numFmtId="166" fontId="0" fillId="0" borderId="0" xfId="208" applyNumberFormat="1" applyFont="1"/>
    <xf numFmtId="166" fontId="0" fillId="0" borderId="0" xfId="208" applyNumberFormat="1" applyFont="1" applyFill="1" applyBorder="1"/>
    <xf numFmtId="166" fontId="34" fillId="0" borderId="0" xfId="208" applyNumberFormat="1" applyFont="1" applyFill="1" applyBorder="1"/>
    <xf numFmtId="166" fontId="30" fillId="4" borderId="0" xfId="208" applyNumberFormat="1" applyFont="1" applyFill="1"/>
    <xf numFmtId="164" fontId="0" fillId="0" borderId="0" xfId="208" applyNumberFormat="1" applyFont="1" applyFill="1" applyAlignment="1">
      <alignment horizontal="center"/>
    </xf>
    <xf numFmtId="164" fontId="0" fillId="6" borderId="0" xfId="208" applyNumberFormat="1" applyFont="1" applyFill="1" applyAlignment="1">
      <alignment horizontal="center"/>
    </xf>
    <xf numFmtId="10" fontId="45" fillId="20" borderId="0" xfId="212" applyNumberFormat="1" applyFont="1" applyFill="1"/>
    <xf numFmtId="0" fontId="35" fillId="20" borderId="0" xfId="0" applyFont="1" applyFill="1" applyAlignment="1">
      <alignment horizontal="center"/>
    </xf>
    <xf numFmtId="173" fontId="0" fillId="0" borderId="0" xfId="209" applyNumberFormat="1" applyFont="1" applyAlignment="1">
      <alignment horizontal="left"/>
    </xf>
    <xf numFmtId="176" fontId="0" fillId="6" borderId="0" xfId="212" applyNumberFormat="1" applyFont="1" applyFill="1" applyAlignment="1">
      <alignment horizontal="center"/>
    </xf>
    <xf numFmtId="0" fontId="50" fillId="0" borderId="0" xfId="0" applyFont="1" applyFill="1" applyAlignment="1"/>
    <xf numFmtId="0" fontId="62" fillId="0" borderId="0" xfId="725" applyAlignment="1">
      <alignment horizontal="left"/>
    </xf>
    <xf numFmtId="0" fontId="30" fillId="0" borderId="0" xfId="0" applyFont="1" applyAlignment="1">
      <alignment horizontal="right" vertical="center"/>
    </xf>
    <xf numFmtId="0" fontId="0" fillId="0" borderId="0" xfId="0" applyAlignment="1">
      <alignment horizontal="left" vertical="center"/>
    </xf>
    <xf numFmtId="0" fontId="0" fillId="9" borderId="0" xfId="0" applyFill="1" applyAlignment="1">
      <alignment horizontal="left" vertical="center"/>
    </xf>
    <xf numFmtId="0" fontId="0" fillId="9" borderId="0" xfId="0" applyFill="1"/>
    <xf numFmtId="0" fontId="62" fillId="9" borderId="0" xfId="725" applyFill="1" applyAlignment="1">
      <alignment horizontal="left"/>
    </xf>
    <xf numFmtId="0" fontId="62" fillId="9" borderId="0" xfId="725" applyFill="1" applyAlignment="1">
      <alignment horizontal="left" vertical="center"/>
    </xf>
    <xf numFmtId="14" fontId="0" fillId="0" borderId="0" xfId="0" applyNumberFormat="1"/>
    <xf numFmtId="177" fontId="0" fillId="0" borderId="0" xfId="208" applyNumberFormat="1" applyFont="1" applyFill="1"/>
    <xf numFmtId="0" fontId="40" fillId="0" borderId="0" xfId="0" applyFont="1" applyAlignment="1">
      <alignment horizontal="center"/>
    </xf>
    <xf numFmtId="171" fontId="30" fillId="17" borderId="0" xfId="208" applyNumberFormat="1" applyFont="1" applyFill="1" applyBorder="1" applyAlignment="1">
      <alignment horizontal="center"/>
    </xf>
    <xf numFmtId="0" fontId="30" fillId="17" borderId="0" xfId="0" applyFont="1" applyFill="1" applyBorder="1" applyAlignment="1">
      <alignment horizontal="center"/>
    </xf>
    <xf numFmtId="0" fontId="43" fillId="6" borderId="0" xfId="0" applyNumberFormat="1" applyFont="1" applyFill="1" applyAlignment="1">
      <alignment horizontal="center"/>
    </xf>
    <xf numFmtId="0" fontId="0" fillId="6" borderId="0" xfId="0" applyNumberFormat="1" applyFill="1" applyAlignment="1">
      <alignment horizontal="center"/>
    </xf>
    <xf numFmtId="0" fontId="30" fillId="0" borderId="0" xfId="0" applyFont="1" applyAlignment="1">
      <alignment horizontal="center"/>
    </xf>
    <xf numFmtId="0" fontId="40" fillId="0" borderId="1" xfId="0" applyFont="1" applyBorder="1" applyAlignment="1">
      <alignment horizontal="center" vertical="top" wrapText="1"/>
    </xf>
    <xf numFmtId="0" fontId="40" fillId="0" borderId="1" xfId="0" applyFont="1" applyFill="1" applyBorder="1" applyAlignment="1">
      <alignment horizontal="center" vertical="top" wrapText="1"/>
    </xf>
    <xf numFmtId="166" fontId="40" fillId="0" borderId="1" xfId="208" applyNumberFormat="1" applyFont="1" applyBorder="1" applyAlignment="1">
      <alignment horizontal="center" vertical="top" wrapText="1"/>
    </xf>
    <xf numFmtId="166" fontId="63" fillId="0" borderId="1" xfId="208" applyFont="1" applyBorder="1" applyAlignment="1">
      <alignment horizontal="center" vertical="top" wrapText="1"/>
    </xf>
    <xf numFmtId="166" fontId="40" fillId="0" borderId="1" xfId="208" applyFont="1" applyBorder="1" applyAlignment="1">
      <alignment horizontal="center" vertical="top" wrapText="1"/>
    </xf>
    <xf numFmtId="171" fontId="40" fillId="0" borderId="1" xfId="212" applyNumberFormat="1" applyFont="1" applyFill="1" applyBorder="1" applyAlignment="1">
      <alignment horizontal="center" vertical="top" wrapText="1"/>
    </xf>
    <xf numFmtId="0" fontId="0" fillId="0" borderId="1" xfId="0" applyFont="1" applyBorder="1" applyAlignment="1">
      <alignment horizontal="center" vertical="top" wrapText="1"/>
    </xf>
    <xf numFmtId="0" fontId="0" fillId="0" borderId="1" xfId="0" applyFont="1" applyFill="1" applyBorder="1" applyAlignment="1">
      <alignment horizontal="center" vertical="top" wrapText="1"/>
    </xf>
    <xf numFmtId="167" fontId="40" fillId="0" borderId="1" xfId="209" applyFont="1" applyFill="1" applyBorder="1" applyAlignment="1">
      <alignment horizontal="center" vertical="top" wrapText="1"/>
    </xf>
    <xf numFmtId="10" fontId="40" fillId="23" borderId="1" xfId="212" applyNumberFormat="1" applyFont="1" applyFill="1" applyBorder="1" applyAlignment="1">
      <alignment horizontal="center" vertical="top" wrapText="1"/>
    </xf>
    <xf numFmtId="166" fontId="40" fillId="0" borderId="1" xfId="208" applyFont="1" applyFill="1" applyBorder="1" applyAlignment="1">
      <alignment horizontal="center" vertical="top" wrapText="1"/>
    </xf>
    <xf numFmtId="10" fontId="40" fillId="0" borderId="1" xfId="212" applyNumberFormat="1" applyFont="1" applyFill="1" applyBorder="1" applyAlignment="1">
      <alignment horizontal="center" vertical="top" wrapText="1"/>
    </xf>
    <xf numFmtId="176" fontId="40" fillId="0" borderId="1" xfId="212" applyNumberFormat="1" applyFont="1" applyFill="1" applyBorder="1" applyAlignment="1">
      <alignment horizontal="center" vertical="top" wrapText="1"/>
    </xf>
    <xf numFmtId="0" fontId="0" fillId="2" borderId="7" xfId="212" applyNumberFormat="1" applyFont="1" applyFill="1" applyBorder="1"/>
    <xf numFmtId="170" fontId="0" fillId="0" borderId="0" xfId="0" applyNumberFormat="1" applyFont="1"/>
    <xf numFmtId="170" fontId="0" fillId="0" borderId="0" xfId="209" applyNumberFormat="1" applyFont="1"/>
    <xf numFmtId="170" fontId="0" fillId="0" borderId="0" xfId="212" applyNumberFormat="1" applyFont="1"/>
    <xf numFmtId="175" fontId="0" fillId="0" borderId="0" xfId="212" applyNumberFormat="1" applyFont="1"/>
    <xf numFmtId="0" fontId="21" fillId="0" borderId="0" xfId="727" applyAlignment="1">
      <alignment horizontal="center"/>
    </xf>
    <xf numFmtId="0" fontId="65" fillId="0" borderId="0" xfId="727" applyFont="1" applyAlignment="1">
      <alignment horizontal="center"/>
    </xf>
    <xf numFmtId="0" fontId="39" fillId="0" borderId="0" xfId="727" applyFont="1" applyFill="1" applyAlignment="1">
      <alignment horizontal="center" wrapText="1"/>
    </xf>
    <xf numFmtId="0" fontId="39" fillId="0" borderId="0" xfId="727" applyNumberFormat="1" applyFont="1" applyAlignment="1">
      <alignment horizontal="center" wrapText="1"/>
    </xf>
    <xf numFmtId="0" fontId="39" fillId="0" borderId="0" xfId="727" applyFont="1" applyAlignment="1">
      <alignment horizontal="center" wrapText="1"/>
    </xf>
    <xf numFmtId="0" fontId="21" fillId="3" borderId="0" xfId="727" applyFill="1" applyAlignment="1">
      <alignment horizontal="center"/>
    </xf>
    <xf numFmtId="165" fontId="21" fillId="3" borderId="0" xfId="727" applyNumberFormat="1" applyFill="1" applyAlignment="1">
      <alignment horizontal="center"/>
    </xf>
    <xf numFmtId="0" fontId="21" fillId="3" borderId="0" xfId="727" applyNumberFormat="1" applyFill="1" applyAlignment="1">
      <alignment horizontal="center"/>
    </xf>
    <xf numFmtId="9" fontId="0" fillId="3" borderId="0" xfId="730" applyFont="1" applyFill="1" applyAlignment="1">
      <alignment horizontal="center"/>
    </xf>
    <xf numFmtId="10" fontId="21" fillId="3" borderId="0" xfId="727" applyNumberFormat="1" applyFill="1" applyAlignment="1">
      <alignment horizontal="center"/>
    </xf>
    <xf numFmtId="2" fontId="42" fillId="0" borderId="0" xfId="0" applyNumberFormat="1" applyFont="1" applyAlignment="1">
      <alignment horizontal="center"/>
    </xf>
    <xf numFmtId="0" fontId="66" fillId="0" borderId="0" xfId="0" applyFont="1" applyFill="1" applyAlignment="1">
      <alignment horizontal="left"/>
    </xf>
    <xf numFmtId="0" fontId="53" fillId="17" borderId="0" xfId="0" applyFont="1" applyFill="1" applyBorder="1" applyAlignment="1">
      <alignment horizontal="center" vertical="center"/>
    </xf>
    <xf numFmtId="0" fontId="53" fillId="17" borderId="0" xfId="0" applyFont="1" applyFill="1" applyBorder="1"/>
    <xf numFmtId="0" fontId="58" fillId="24" borderId="0" xfId="0" applyFont="1" applyFill="1"/>
    <xf numFmtId="0" fontId="53" fillId="17" borderId="16" xfId="0" applyFont="1" applyFill="1" applyBorder="1" applyAlignment="1">
      <alignment horizontal="center" vertical="center"/>
    </xf>
    <xf numFmtId="0" fontId="68" fillId="17" borderId="0" xfId="0" applyFont="1" applyFill="1" applyBorder="1" applyAlignment="1">
      <alignment horizontal="right" vertical="center"/>
    </xf>
    <xf numFmtId="10" fontId="53" fillId="17" borderId="16" xfId="0" applyNumberFormat="1" applyFont="1" applyFill="1" applyBorder="1" applyAlignment="1">
      <alignment horizontal="center" vertical="center"/>
    </xf>
    <xf numFmtId="170" fontId="67" fillId="17" borderId="16" xfId="0" applyNumberFormat="1" applyFont="1" applyFill="1" applyBorder="1" applyAlignment="1" applyProtection="1">
      <alignment horizontal="center" vertical="center"/>
      <protection hidden="1"/>
    </xf>
    <xf numFmtId="171" fontId="0" fillId="3" borderId="0" xfId="208" applyNumberFormat="1" applyFont="1" applyFill="1" applyBorder="1" applyAlignment="1">
      <alignment horizontal="center"/>
    </xf>
    <xf numFmtId="0" fontId="0" fillId="3" borderId="0" xfId="208" applyNumberFormat="1" applyFont="1" applyFill="1" applyBorder="1" applyAlignment="1">
      <alignment horizontal="center"/>
    </xf>
    <xf numFmtId="9" fontId="0" fillId="3" borderId="0" xfId="212" applyFont="1" applyFill="1" applyBorder="1" applyAlignment="1">
      <alignment horizontal="center"/>
    </xf>
    <xf numFmtId="0" fontId="0" fillId="25" borderId="0" xfId="209" applyNumberFormat="1" applyFont="1" applyFill="1" applyAlignment="1">
      <alignment horizontal="center"/>
    </xf>
    <xf numFmtId="10" fontId="0" fillId="0" borderId="0" xfId="0" applyNumberFormat="1"/>
    <xf numFmtId="0" fontId="58" fillId="17" borderId="0" xfId="0" applyFont="1" applyFill="1"/>
    <xf numFmtId="0" fontId="58" fillId="17" borderId="0" xfId="0" applyFont="1" applyFill="1" applyAlignment="1">
      <alignment horizontal="center"/>
    </xf>
    <xf numFmtId="0" fontId="55" fillId="17" borderId="0" xfId="0" applyFont="1" applyFill="1"/>
    <xf numFmtId="0" fontId="43" fillId="17" borderId="16" xfId="0" applyFont="1" applyFill="1" applyBorder="1" applyAlignment="1">
      <alignment horizontal="center"/>
    </xf>
    <xf numFmtId="0" fontId="48" fillId="17" borderId="0" xfId="0" applyFont="1" applyFill="1" applyBorder="1" applyAlignment="1">
      <alignment horizontal="center"/>
    </xf>
    <xf numFmtId="0" fontId="53" fillId="17" borderId="0" xfId="0" applyFont="1" applyFill="1" applyBorder="1" applyAlignment="1">
      <alignment horizontal="right"/>
    </xf>
    <xf numFmtId="9" fontId="53" fillId="17" borderId="16" xfId="212" applyFont="1" applyFill="1" applyBorder="1" applyAlignment="1">
      <alignment horizontal="center"/>
    </xf>
    <xf numFmtId="1" fontId="0" fillId="0" borderId="0" xfId="0" applyNumberFormat="1" applyFill="1"/>
    <xf numFmtId="9" fontId="53" fillId="17" borderId="16" xfId="212" applyNumberFormat="1" applyFont="1" applyFill="1" applyBorder="1" applyAlignment="1">
      <alignment horizontal="center"/>
    </xf>
    <xf numFmtId="0" fontId="0" fillId="0" borderId="0" xfId="0"/>
    <xf numFmtId="9" fontId="32" fillId="0" borderId="0" xfId="212" applyFont="1" applyFill="1" applyAlignment="1" applyProtection="1">
      <alignment horizontal="center"/>
      <protection hidden="1"/>
    </xf>
    <xf numFmtId="0" fontId="40" fillId="0" borderId="0" xfId="0" applyFont="1" applyAlignment="1">
      <alignment horizontal="center"/>
    </xf>
    <xf numFmtId="10" fontId="40" fillId="0" borderId="0" xfId="0" applyNumberFormat="1" applyFont="1" applyAlignment="1">
      <alignment horizontal="center"/>
    </xf>
    <xf numFmtId="166" fontId="0" fillId="6" borderId="0" xfId="208" applyNumberFormat="1" applyFont="1" applyFill="1"/>
    <xf numFmtId="0" fontId="71" fillId="0" borderId="0" xfId="0" applyFont="1" applyFill="1" applyAlignment="1">
      <alignment horizontal="right" vertical="center"/>
    </xf>
    <xf numFmtId="168" fontId="66" fillId="3" borderId="0" xfId="208" applyNumberFormat="1" applyFont="1" applyFill="1" applyBorder="1" applyAlignment="1">
      <alignment horizontal="center"/>
    </xf>
    <xf numFmtId="9" fontId="0" fillId="17" borderId="0" xfId="0" applyNumberFormat="1" applyFill="1" applyBorder="1"/>
    <xf numFmtId="0" fontId="58" fillId="17" borderId="0" xfId="0" applyFont="1" applyFill="1" applyBorder="1"/>
    <xf numFmtId="0" fontId="0" fillId="0" borderId="0" xfId="0" applyFill="1" applyAlignment="1">
      <alignment horizontal="center"/>
    </xf>
    <xf numFmtId="0" fontId="40" fillId="0" borderId="0" xfId="0" applyFont="1" applyAlignment="1">
      <alignment horizontal="center"/>
    </xf>
    <xf numFmtId="0" fontId="62" fillId="0" borderId="0" xfId="725" applyFill="1"/>
    <xf numFmtId="0" fontId="32" fillId="0" borderId="0" xfId="210" applyFont="1" applyFill="1" applyAlignment="1" applyProtection="1">
      <alignment horizontal="center"/>
      <protection hidden="1"/>
    </xf>
    <xf numFmtId="165" fontId="0" fillId="10" borderId="0" xfId="0" applyNumberFormat="1" applyFill="1"/>
    <xf numFmtId="164" fontId="0" fillId="0" borderId="0" xfId="208" applyNumberFormat="1" applyFont="1" applyFill="1" applyAlignment="1">
      <alignment horizontal="center" wrapText="1"/>
    </xf>
    <xf numFmtId="167" fontId="40" fillId="0" borderId="0" xfId="209" applyFont="1" applyAlignment="1">
      <alignment horizontal="center"/>
    </xf>
    <xf numFmtId="167" fontId="16" fillId="2" borderId="6" xfId="209" applyFont="1" applyFill="1" applyBorder="1" applyAlignment="1">
      <alignment wrapText="1"/>
    </xf>
    <xf numFmtId="174" fontId="0" fillId="0" borderId="0" xfId="212" applyNumberFormat="1" applyFont="1" applyFill="1" applyAlignment="1">
      <alignment horizontal="center"/>
    </xf>
    <xf numFmtId="167" fontId="0" fillId="2" borderId="6" xfId="209" applyFont="1" applyFill="1" applyBorder="1" applyAlignment="1">
      <alignment vertical="center"/>
    </xf>
    <xf numFmtId="10" fontId="0" fillId="2" borderId="7" xfId="212" applyNumberFormat="1" applyFont="1" applyFill="1" applyBorder="1" applyAlignment="1">
      <alignment vertical="center"/>
    </xf>
    <xf numFmtId="167" fontId="0" fillId="2" borderId="8" xfId="209" applyFont="1" applyFill="1" applyBorder="1" applyAlignment="1">
      <alignment horizontal="left"/>
    </xf>
    <xf numFmtId="10" fontId="0" fillId="2" borderId="9" xfId="212" applyNumberFormat="1" applyFont="1" applyFill="1" applyBorder="1" applyAlignment="1">
      <alignment horizontal="right"/>
    </xf>
    <xf numFmtId="0" fontId="43" fillId="17" borderId="0" xfId="0" applyFont="1" applyFill="1" applyAlignment="1">
      <alignment horizontal="left"/>
    </xf>
    <xf numFmtId="0" fontId="40" fillId="0" borderId="0" xfId="0" applyFont="1" applyAlignment="1">
      <alignment horizontal="center"/>
    </xf>
    <xf numFmtId="179" fontId="0" fillId="0" borderId="0" xfId="208" applyNumberFormat="1" applyFont="1" applyFill="1"/>
    <xf numFmtId="173" fontId="40" fillId="0" borderId="0" xfId="209" applyNumberFormat="1" applyFont="1" applyFill="1" applyAlignment="1">
      <alignment horizontal="center"/>
    </xf>
    <xf numFmtId="177" fontId="0" fillId="0" borderId="0" xfId="208" applyNumberFormat="1" applyFont="1"/>
    <xf numFmtId="180" fontId="0" fillId="0" borderId="0" xfId="209" applyNumberFormat="1" applyFont="1"/>
    <xf numFmtId="177" fontId="0" fillId="0" borderId="0" xfId="208" applyNumberFormat="1" applyFont="1" applyAlignment="1">
      <alignment horizontal="right"/>
    </xf>
    <xf numFmtId="9" fontId="0" fillId="0" borderId="0" xfId="212" applyFont="1" applyFill="1"/>
    <xf numFmtId="0" fontId="0" fillId="0" borderId="0" xfId="0" applyFill="1" applyAlignment="1">
      <alignment horizontal="center"/>
    </xf>
    <xf numFmtId="0" fontId="58" fillId="17" borderId="0" xfId="0" applyFont="1" applyFill="1" applyAlignment="1">
      <alignment horizontal="right"/>
    </xf>
    <xf numFmtId="9" fontId="0" fillId="2" borderId="7" xfId="212" applyFont="1" applyFill="1" applyBorder="1"/>
    <xf numFmtId="9" fontId="0" fillId="2" borderId="5" xfId="212" applyNumberFormat="1" applyFont="1" applyFill="1" applyBorder="1"/>
    <xf numFmtId="1" fontId="0" fillId="2" borderId="7" xfId="209" applyNumberFormat="1" applyFont="1" applyFill="1" applyBorder="1"/>
    <xf numFmtId="9" fontId="0" fillId="2" borderId="5" xfId="212" applyFont="1" applyFill="1" applyBorder="1"/>
    <xf numFmtId="182" fontId="0" fillId="2" borderId="7" xfId="208" applyNumberFormat="1" applyFont="1" applyFill="1" applyBorder="1"/>
    <xf numFmtId="182" fontId="0" fillId="2" borderId="7" xfId="208" applyNumberFormat="1" applyFont="1" applyFill="1" applyBorder="1" applyAlignment="1">
      <alignment horizontal="left"/>
    </xf>
    <xf numFmtId="181" fontId="0" fillId="2" borderId="7" xfId="209" applyNumberFormat="1" applyFont="1" applyFill="1" applyBorder="1"/>
    <xf numFmtId="9" fontId="34" fillId="2" borderId="7" xfId="209" applyNumberFormat="1" applyFont="1" applyFill="1" applyBorder="1" applyAlignment="1">
      <alignment horizontal="right"/>
    </xf>
    <xf numFmtId="167" fontId="34" fillId="2" borderId="7" xfId="209" applyFont="1" applyFill="1" applyBorder="1" applyAlignment="1">
      <alignment horizontal="right"/>
    </xf>
    <xf numFmtId="9" fontId="0" fillId="2" borderId="0" xfId="212" applyFont="1" applyFill="1" applyBorder="1"/>
    <xf numFmtId="182" fontId="0" fillId="2" borderId="0" xfId="208" applyNumberFormat="1" applyFont="1" applyFill="1" applyBorder="1" applyAlignment="1">
      <alignment horizontal="left"/>
    </xf>
    <xf numFmtId="167" fontId="34" fillId="2" borderId="0" xfId="209" applyFont="1" applyFill="1" applyBorder="1" applyAlignment="1">
      <alignment horizontal="left"/>
    </xf>
    <xf numFmtId="10" fontId="0" fillId="2" borderId="0" xfId="212" applyNumberFormat="1" applyFont="1" applyFill="1" applyBorder="1"/>
    <xf numFmtId="182" fontId="0" fillId="2" borderId="0" xfId="208" applyNumberFormat="1" applyFont="1" applyFill="1" applyBorder="1"/>
    <xf numFmtId="181" fontId="0" fillId="2" borderId="0" xfId="209" applyNumberFormat="1" applyFont="1" applyFill="1" applyBorder="1"/>
    <xf numFmtId="182" fontId="0" fillId="0" borderId="0" xfId="208" applyNumberFormat="1" applyFont="1" applyFill="1"/>
    <xf numFmtId="182" fontId="0" fillId="0" borderId="0" xfId="208" applyNumberFormat="1" applyFont="1"/>
    <xf numFmtId="182" fontId="0" fillId="6" borderId="0" xfId="208" applyNumberFormat="1" applyFont="1" applyFill="1"/>
    <xf numFmtId="0" fontId="0" fillId="17" borderId="0" xfId="0" applyFill="1" applyAlignment="1">
      <alignment vertical="center"/>
    </xf>
    <xf numFmtId="0" fontId="35" fillId="20" borderId="0" xfId="0" applyFont="1" applyFill="1"/>
    <xf numFmtId="9" fontId="0" fillId="0" borderId="0" xfId="0" applyNumberFormat="1"/>
    <xf numFmtId="0" fontId="0" fillId="0" borderId="0" xfId="0"/>
    <xf numFmtId="0" fontId="0" fillId="8" borderId="0" xfId="0" applyFill="1"/>
    <xf numFmtId="0" fontId="30" fillId="0" borderId="0" xfId="0" applyFont="1" applyAlignment="1">
      <alignment wrapText="1"/>
    </xf>
    <xf numFmtId="0" fontId="14" fillId="0" borderId="0" xfId="1213"/>
    <xf numFmtId="0" fontId="35" fillId="21" borderId="0" xfId="1214" applyFont="1" applyFill="1"/>
    <xf numFmtId="0" fontId="57" fillId="21" borderId="0" xfId="1214" applyFont="1" applyFill="1"/>
    <xf numFmtId="0" fontId="14" fillId="0" borderId="0" xfId="1213" applyFill="1"/>
    <xf numFmtId="14" fontId="42" fillId="0" borderId="0" xfId="1213" applyNumberFormat="1" applyFont="1" applyFill="1" applyAlignment="1">
      <alignment horizontal="center" vertical="center"/>
    </xf>
    <xf numFmtId="0" fontId="42" fillId="0" borderId="0" xfId="1213" applyFont="1" applyFill="1"/>
    <xf numFmtId="0" fontId="43" fillId="0" borderId="0" xfId="1213" applyFont="1" applyFill="1"/>
    <xf numFmtId="0" fontId="30" fillId="0" borderId="0" xfId="1213" applyFont="1" applyFill="1" applyAlignment="1">
      <alignment horizontal="center"/>
    </xf>
    <xf numFmtId="0" fontId="35" fillId="0" borderId="0" xfId="1213" applyFont="1" applyFill="1"/>
    <xf numFmtId="14" fontId="14" fillId="3" borderId="0" xfId="1213" applyNumberFormat="1" applyFill="1" applyAlignment="1">
      <alignment horizontal="center"/>
    </xf>
    <xf numFmtId="0" fontId="14" fillId="3" borderId="0" xfId="1213" applyFill="1" applyAlignment="1">
      <alignment horizontal="center"/>
    </xf>
    <xf numFmtId="14" fontId="14" fillId="0" borderId="0" xfId="1213" applyNumberFormat="1" applyFill="1"/>
    <xf numFmtId="0" fontId="14" fillId="0" borderId="0" xfId="1213" applyFill="1" applyAlignment="1">
      <alignment horizontal="center"/>
    </xf>
    <xf numFmtId="0" fontId="30" fillId="0" borderId="0" xfId="1213" applyFont="1" applyFill="1" applyAlignment="1">
      <alignment wrapText="1"/>
    </xf>
    <xf numFmtId="0" fontId="30" fillId="0" borderId="0" xfId="1213" applyFont="1" applyFill="1"/>
    <xf numFmtId="170" fontId="14" fillId="8" borderId="0" xfId="1212" applyNumberFormat="1" applyFont="1" applyFill="1"/>
    <xf numFmtId="170" fontId="14" fillId="0" borderId="0" xfId="1212" applyNumberFormat="1" applyFont="1" applyFill="1"/>
    <xf numFmtId="2" fontId="14" fillId="0" borderId="0" xfId="1213" applyNumberFormat="1" applyFill="1"/>
    <xf numFmtId="170" fontId="14" fillId="3" borderId="0" xfId="1212" applyNumberFormat="1" applyFont="1" applyFill="1"/>
    <xf numFmtId="0" fontId="30" fillId="0" borderId="0" xfId="1213" applyFont="1" applyFill="1" applyAlignment="1">
      <alignment horizontal="left" vertical="center"/>
    </xf>
    <xf numFmtId="0" fontId="30" fillId="0" borderId="0" xfId="1213" applyFont="1" applyFill="1" applyAlignment="1">
      <alignment horizontal="left"/>
    </xf>
    <xf numFmtId="10" fontId="14" fillId="3" borderId="0" xfId="1213" applyNumberFormat="1" applyFill="1"/>
    <xf numFmtId="10" fontId="14" fillId="0" borderId="0" xfId="1213" applyNumberFormat="1" applyFill="1"/>
    <xf numFmtId="170" fontId="50" fillId="0" borderId="0" xfId="1212" applyNumberFormat="1" applyFont="1" applyFill="1"/>
    <xf numFmtId="9" fontId="50" fillId="0" borderId="0" xfId="1213" applyNumberFormat="1" applyFont="1" applyFill="1"/>
    <xf numFmtId="10" fontId="50" fillId="0" borderId="0" xfId="1213" applyNumberFormat="1" applyFont="1" applyFill="1"/>
    <xf numFmtId="9" fontId="14" fillId="3" borderId="0" xfId="1212" applyNumberFormat="1" applyFont="1" applyFill="1"/>
    <xf numFmtId="9" fontId="14" fillId="0" borderId="0" xfId="1213" applyNumberFormat="1" applyFill="1"/>
    <xf numFmtId="0" fontId="14" fillId="0" borderId="0" xfId="1213" applyFill="1" applyAlignment="1">
      <alignment horizontal="right"/>
    </xf>
    <xf numFmtId="0" fontId="14" fillId="0" borderId="0" xfId="1213" applyNumberFormat="1" applyFill="1"/>
    <xf numFmtId="0" fontId="30" fillId="0" borderId="0" xfId="1213" applyFont="1" applyFill="1" applyAlignment="1">
      <alignment horizontal="right"/>
    </xf>
    <xf numFmtId="43" fontId="14" fillId="3" borderId="0" xfId="1211" applyFont="1" applyFill="1" applyBorder="1"/>
    <xf numFmtId="170" fontId="30" fillId="0" borderId="0" xfId="1212" applyNumberFormat="1" applyFont="1" applyFill="1" applyAlignment="1">
      <alignment horizontal="right"/>
    </xf>
    <xf numFmtId="14" fontId="14" fillId="3" borderId="0" xfId="1211" applyNumberFormat="1" applyFont="1" applyFill="1" applyBorder="1"/>
    <xf numFmtId="0" fontId="30" fillId="0" borderId="0" xfId="1213" applyFont="1" applyFill="1" applyAlignment="1">
      <alignment horizontal="center" vertical="center" wrapText="1"/>
    </xf>
    <xf numFmtId="8" fontId="14" fillId="0" borderId="0" xfId="1213" applyNumberFormat="1" applyFill="1" applyBorder="1" applyAlignment="1">
      <alignment vertical="center"/>
    </xf>
    <xf numFmtId="177" fontId="50" fillId="3" borderId="0" xfId="1212" applyNumberFormat="1" applyFont="1" applyFill="1"/>
    <xf numFmtId="177" fontId="14" fillId="0" borderId="0" xfId="1212" applyNumberFormat="1" applyFont="1" applyFill="1"/>
    <xf numFmtId="8" fontId="14" fillId="0" borderId="0" xfId="1213" applyNumberFormat="1" applyFill="1"/>
    <xf numFmtId="8" fontId="93" fillId="0" borderId="0" xfId="1213" applyNumberFormat="1" applyFont="1" applyFill="1" applyBorder="1" applyAlignment="1">
      <alignment vertical="center"/>
    </xf>
    <xf numFmtId="44" fontId="50" fillId="3" borderId="0" xfId="1212" applyFont="1" applyFill="1"/>
    <xf numFmtId="44" fontId="50" fillId="3" borderId="0" xfId="1213" applyNumberFormat="1" applyFont="1" applyFill="1" applyBorder="1"/>
    <xf numFmtId="2" fontId="14" fillId="0" borderId="0" xfId="1213" applyNumberFormat="1" applyFill="1" applyBorder="1"/>
    <xf numFmtId="169" fontId="14" fillId="0" borderId="0" xfId="1213" applyNumberFormat="1" applyFill="1" applyBorder="1"/>
    <xf numFmtId="44" fontId="14" fillId="3" borderId="0" xfId="1213" applyNumberFormat="1" applyFill="1" applyBorder="1"/>
    <xf numFmtId="10" fontId="14" fillId="0" borderId="0" xfId="212" applyNumberFormat="1" applyFont="1" applyFill="1"/>
    <xf numFmtId="44" fontId="30" fillId="0" borderId="0" xfId="1212" applyNumberFormat="1" applyFont="1" applyFill="1" applyAlignment="1">
      <alignment vertical="center"/>
    </xf>
    <xf numFmtId="44" fontId="14" fillId="0" borderId="0" xfId="1213" applyNumberFormat="1" applyFill="1"/>
    <xf numFmtId="0" fontId="30" fillId="0" borderId="0" xfId="1213" applyFont="1" applyFill="1" applyAlignment="1">
      <alignment horizontal="left" wrapText="1"/>
    </xf>
    <xf numFmtId="8" fontId="30" fillId="0" borderId="0" xfId="1213" applyNumberFormat="1" applyFont="1" applyFill="1"/>
    <xf numFmtId="10" fontId="14" fillId="3" borderId="0" xfId="212" applyNumberFormat="1" applyFont="1" applyFill="1"/>
    <xf numFmtId="8" fontId="14" fillId="0" borderId="0" xfId="1212" applyNumberFormat="1" applyFont="1" applyFill="1"/>
    <xf numFmtId="1" fontId="41" fillId="0" borderId="0" xfId="1211" applyNumberFormat="1" applyFont="1" applyFill="1" applyBorder="1" applyAlignment="1">
      <alignment horizontal="center" vertical="center"/>
    </xf>
    <xf numFmtId="9" fontId="41" fillId="0" borderId="0" xfId="1213" applyNumberFormat="1" applyFont="1" applyFill="1" applyBorder="1" applyAlignment="1">
      <alignment vertical="center" wrapText="1"/>
    </xf>
    <xf numFmtId="0" fontId="14" fillId="0" borderId="0" xfId="1213" applyFill="1" applyBorder="1"/>
    <xf numFmtId="0" fontId="0" fillId="17" borderId="23" xfId="0" applyFill="1" applyBorder="1"/>
    <xf numFmtId="0" fontId="0" fillId="0" borderId="0" xfId="0"/>
    <xf numFmtId="0" fontId="0" fillId="0" borderId="0" xfId="0" applyFill="1"/>
    <xf numFmtId="9" fontId="0" fillId="0" borderId="0" xfId="212" applyFont="1"/>
    <xf numFmtId="0" fontId="43" fillId="0" borderId="0" xfId="0" applyFont="1"/>
    <xf numFmtId="0" fontId="0" fillId="0" borderId="0" xfId="0" applyAlignment="1"/>
    <xf numFmtId="0" fontId="30" fillId="0" borderId="0" xfId="0" applyFont="1" applyAlignment="1"/>
    <xf numFmtId="1" fontId="0" fillId="0" borderId="0" xfId="0" applyNumberFormat="1"/>
    <xf numFmtId="1" fontId="0" fillId="0" borderId="0" xfId="0" applyNumberFormat="1" applyFill="1"/>
    <xf numFmtId="9" fontId="0" fillId="0" borderId="0" xfId="212" applyFont="1" applyFill="1"/>
    <xf numFmtId="0" fontId="58" fillId="17" borderId="0" xfId="0" applyFont="1" applyFill="1" applyProtection="1">
      <protection hidden="1"/>
    </xf>
    <xf numFmtId="2" fontId="0" fillId="3" borderId="0" xfId="209" applyNumberFormat="1" applyFont="1" applyFill="1" applyBorder="1" applyAlignment="1">
      <alignment horizontal="center"/>
    </xf>
    <xf numFmtId="0" fontId="30" fillId="11" borderId="0" xfId="0" applyFont="1" applyFill="1" applyAlignment="1" applyProtection="1">
      <alignment horizontal="left" vertical="center" indent="2"/>
      <protection hidden="1"/>
    </xf>
    <xf numFmtId="0" fontId="0" fillId="11" borderId="0" xfId="0" applyFont="1" applyFill="1" applyProtection="1">
      <protection hidden="1"/>
    </xf>
    <xf numFmtId="0" fontId="94" fillId="11" borderId="0" xfId="0" applyFont="1" applyFill="1" applyAlignment="1" applyProtection="1">
      <alignment horizontal="left" vertical="center" indent="2"/>
      <protection hidden="1"/>
    </xf>
    <xf numFmtId="0" fontId="91" fillId="11" borderId="0" xfId="0" applyFont="1" applyFill="1" applyProtection="1">
      <protection hidden="1"/>
    </xf>
    <xf numFmtId="0" fontId="95" fillId="11" borderId="0" xfId="0" applyFont="1" applyFill="1" applyProtection="1">
      <protection hidden="1"/>
    </xf>
    <xf numFmtId="0" fontId="30" fillId="17" borderId="0" xfId="0" applyFont="1" applyFill="1"/>
    <xf numFmtId="0" fontId="96" fillId="17" borderId="0" xfId="0" applyFont="1" applyFill="1" applyAlignment="1">
      <alignment vertical="top" wrapText="1"/>
    </xf>
    <xf numFmtId="0" fontId="74" fillId="11" borderId="0" xfId="0" applyFont="1" applyFill="1" applyAlignment="1" applyProtection="1">
      <alignment horizontal="right" indent="1"/>
      <protection hidden="1"/>
    </xf>
    <xf numFmtId="0" fontId="91" fillId="17" borderId="0" xfId="0" applyFont="1" applyFill="1" applyBorder="1" applyProtection="1">
      <protection hidden="1"/>
    </xf>
    <xf numFmtId="0" fontId="0" fillId="11" borderId="0" xfId="0" applyFont="1" applyFill="1" applyBorder="1" applyProtection="1">
      <protection hidden="1"/>
    </xf>
    <xf numFmtId="0" fontId="30" fillId="11" borderId="0" xfId="0" applyFont="1" applyFill="1" applyBorder="1" applyAlignment="1" applyProtection="1">
      <alignment horizontal="right" vertical="center"/>
      <protection hidden="1"/>
    </xf>
    <xf numFmtId="0" fontId="98" fillId="0" borderId="1" xfId="0" applyFont="1" applyFill="1" applyBorder="1" applyAlignment="1" applyProtection="1">
      <alignment vertical="top"/>
    </xf>
    <xf numFmtId="0" fontId="55" fillId="17" borderId="0" xfId="0" applyFont="1" applyFill="1" applyBorder="1" applyAlignment="1" applyProtection="1">
      <alignment vertical="top"/>
    </xf>
    <xf numFmtId="0" fontId="0" fillId="17" borderId="16" xfId="0" applyFill="1" applyBorder="1" applyAlignment="1">
      <alignment horizontal="center"/>
    </xf>
    <xf numFmtId="0" fontId="30" fillId="17" borderId="0" xfId="0" applyFont="1" applyFill="1" applyBorder="1" applyAlignment="1" applyProtection="1">
      <alignment vertical="top" wrapText="1"/>
    </xf>
    <xf numFmtId="0" fontId="91" fillId="17" borderId="0" xfId="0" applyFont="1" applyFill="1" applyProtection="1">
      <protection hidden="1"/>
    </xf>
    <xf numFmtId="10" fontId="34" fillId="17" borderId="26" xfId="212" applyNumberFormat="1" applyFont="1" applyFill="1" applyBorder="1" applyAlignment="1" applyProtection="1">
      <alignment horizontal="center" vertical="center"/>
      <protection locked="0" hidden="1"/>
    </xf>
    <xf numFmtId="168" fontId="0" fillId="17" borderId="26" xfId="0" applyNumberFormat="1" applyFont="1" applyFill="1" applyBorder="1" applyAlignment="1" applyProtection="1">
      <alignment horizontal="center" vertical="center"/>
      <protection locked="0" hidden="1"/>
    </xf>
    <xf numFmtId="10" fontId="0" fillId="17" borderId="26" xfId="0" applyNumberFormat="1" applyFont="1" applyFill="1" applyBorder="1" applyAlignment="1" applyProtection="1">
      <alignment horizontal="center" vertical="center"/>
      <protection locked="0" hidden="1"/>
    </xf>
    <xf numFmtId="0" fontId="49" fillId="31" borderId="0" xfId="0" applyFont="1" applyFill="1" applyAlignment="1" applyProtection="1">
      <alignment horizontal="left" vertical="center"/>
      <protection hidden="1"/>
    </xf>
    <xf numFmtId="0" fontId="102" fillId="31" borderId="0" xfId="0" applyFont="1" applyFill="1" applyAlignment="1" applyProtection="1">
      <alignment horizontal="center" vertical="center" wrapText="1"/>
      <protection hidden="1"/>
    </xf>
    <xf numFmtId="0" fontId="102" fillId="31" borderId="0" xfId="0" applyFont="1" applyFill="1" applyBorder="1" applyAlignment="1" applyProtection="1">
      <alignment horizontal="center" vertical="center" wrapText="1"/>
      <protection hidden="1"/>
    </xf>
    <xf numFmtId="0" fontId="39" fillId="0" borderId="16" xfId="0" applyFont="1" applyBorder="1" applyAlignment="1" applyProtection="1">
      <alignment vertical="center" wrapText="1"/>
      <protection hidden="1"/>
    </xf>
    <xf numFmtId="0" fontId="39" fillId="0" borderId="16" xfId="0" applyFont="1" applyBorder="1" applyProtection="1">
      <protection hidden="1"/>
    </xf>
    <xf numFmtId="0" fontId="39" fillId="0" borderId="16" xfId="0" applyFont="1" applyBorder="1" applyAlignment="1" applyProtection="1">
      <alignment horizontal="center" vertical="center" wrapText="1"/>
      <protection hidden="1"/>
    </xf>
    <xf numFmtId="184" fontId="32" fillId="0" borderId="16" xfId="0" applyNumberFormat="1" applyFont="1" applyBorder="1" applyAlignment="1" applyProtection="1">
      <alignment horizontal="right" vertical="center" wrapText="1"/>
      <protection hidden="1"/>
    </xf>
    <xf numFmtId="184" fontId="32" fillId="0" borderId="16" xfId="0" applyNumberFormat="1" applyFont="1" applyBorder="1" applyAlignment="1" applyProtection="1">
      <alignment horizontal="right"/>
      <protection hidden="1"/>
    </xf>
    <xf numFmtId="185" fontId="32" fillId="0" borderId="16" xfId="0" applyNumberFormat="1" applyFont="1" applyBorder="1" applyAlignment="1" applyProtection="1">
      <alignment horizontal="center" vertical="center" wrapText="1"/>
      <protection hidden="1"/>
    </xf>
    <xf numFmtId="184" fontId="0" fillId="0" borderId="16" xfId="0" applyNumberFormat="1" applyBorder="1" applyAlignment="1" applyProtection="1">
      <alignment horizontal="right"/>
      <protection hidden="1"/>
    </xf>
    <xf numFmtId="0" fontId="0" fillId="0" borderId="0" xfId="0" applyAlignment="1">
      <alignment horizontal="center" vertical="center"/>
    </xf>
    <xf numFmtId="1" fontId="0" fillId="11" borderId="16" xfId="0" applyNumberFormat="1" applyFill="1" applyBorder="1"/>
    <xf numFmtId="1" fontId="0" fillId="13" borderId="16" xfId="0" applyNumberFormat="1" applyFill="1" applyBorder="1"/>
    <xf numFmtId="0" fontId="0" fillId="13" borderId="16" xfId="0" applyFill="1" applyBorder="1"/>
    <xf numFmtId="0" fontId="113" fillId="0" borderId="0" xfId="0" applyFont="1"/>
    <xf numFmtId="165" fontId="0" fillId="0" borderId="0" xfId="0" applyNumberFormat="1"/>
    <xf numFmtId="165" fontId="30" fillId="0" borderId="0" xfId="0" applyNumberFormat="1" applyFont="1"/>
    <xf numFmtId="0" fontId="97" fillId="11" borderId="0" xfId="0" applyFont="1" applyFill="1" applyAlignment="1" applyProtection="1">
      <alignment vertical="top" wrapText="1"/>
      <protection hidden="1"/>
    </xf>
    <xf numFmtId="0" fontId="11" fillId="17" borderId="61" xfId="0" applyFont="1" applyFill="1" applyBorder="1" applyAlignment="1" applyProtection="1">
      <alignment horizontal="center" vertical="center"/>
      <protection locked="0" hidden="1"/>
    </xf>
    <xf numFmtId="171" fontId="11" fillId="17" borderId="61" xfId="0" applyNumberFormat="1" applyFont="1" applyFill="1" applyBorder="1" applyAlignment="1" applyProtection="1">
      <alignment horizontal="center" vertical="center"/>
      <protection locked="0" hidden="1"/>
    </xf>
    <xf numFmtId="10" fontId="11" fillId="17" borderId="61" xfId="0" applyNumberFormat="1" applyFont="1" applyFill="1" applyBorder="1" applyAlignment="1" applyProtection="1">
      <alignment horizontal="center" vertical="center"/>
      <protection locked="0" hidden="1"/>
    </xf>
    <xf numFmtId="9" fontId="0" fillId="8" borderId="0" xfId="212" applyFont="1" applyFill="1"/>
    <xf numFmtId="10" fontId="0" fillId="8" borderId="0" xfId="212" applyNumberFormat="1" applyFont="1" applyFill="1"/>
    <xf numFmtId="182" fontId="30" fillId="0" borderId="0" xfId="208" applyNumberFormat="1" applyFont="1"/>
    <xf numFmtId="0" fontId="0" fillId="0" borderId="0" xfId="0" applyFont="1" applyFill="1" applyProtection="1">
      <protection hidden="1"/>
    </xf>
    <xf numFmtId="0" fontId="45" fillId="0" borderId="0" xfId="0" applyFont="1" applyFill="1" applyProtection="1">
      <protection hidden="1"/>
    </xf>
    <xf numFmtId="0" fontId="0" fillId="17" borderId="0" xfId="0" applyFont="1" applyFill="1" applyProtection="1">
      <protection hidden="1"/>
    </xf>
    <xf numFmtId="0" fontId="74" fillId="0" borderId="0" xfId="0" applyFont="1" applyFill="1" applyBorder="1" applyAlignment="1" applyProtection="1">
      <alignment horizontal="right" vertical="center"/>
      <protection hidden="1"/>
    </xf>
    <xf numFmtId="0" fontId="0" fillId="0" borderId="0" xfId="0" applyFont="1" applyFill="1" applyBorder="1" applyProtection="1">
      <protection hidden="1"/>
    </xf>
    <xf numFmtId="0" fontId="87" fillId="0" borderId="0" xfId="0" applyFont="1" applyFill="1" applyAlignment="1" applyProtection="1">
      <alignment vertical="center"/>
      <protection hidden="1"/>
    </xf>
    <xf numFmtId="0" fontId="0" fillId="0" borderId="0" xfId="0" applyFont="1" applyFill="1" applyAlignment="1" applyProtection="1">
      <alignment vertical="center"/>
      <protection hidden="1"/>
    </xf>
    <xf numFmtId="0" fontId="0" fillId="0" borderId="0" xfId="0" applyFont="1" applyFill="1" applyAlignment="1" applyProtection="1">
      <protection hidden="1"/>
    </xf>
    <xf numFmtId="0" fontId="45" fillId="0" borderId="0" xfId="0" applyFont="1" applyFill="1" applyBorder="1" applyProtection="1">
      <protection hidden="1"/>
    </xf>
    <xf numFmtId="0" fontId="0" fillId="0" borderId="16" xfId="0" applyFont="1" applyFill="1" applyBorder="1" applyProtection="1">
      <protection hidden="1"/>
    </xf>
    <xf numFmtId="0" fontId="0" fillId="0" borderId="30" xfId="0" applyFont="1" applyFill="1" applyBorder="1" applyProtection="1">
      <protection hidden="1"/>
    </xf>
    <xf numFmtId="0" fontId="89" fillId="3" borderId="2" xfId="0" applyFont="1" applyFill="1" applyBorder="1" applyAlignment="1" applyProtection="1">
      <alignment vertical="center"/>
      <protection hidden="1"/>
    </xf>
    <xf numFmtId="0" fontId="89" fillId="3" borderId="0" xfId="0" applyFont="1" applyFill="1" applyBorder="1" applyAlignment="1" applyProtection="1">
      <alignment vertical="center"/>
      <protection hidden="1"/>
    </xf>
    <xf numFmtId="0" fontId="0" fillId="3" borderId="0" xfId="0" applyFont="1" applyFill="1" applyBorder="1" applyProtection="1">
      <protection hidden="1"/>
    </xf>
    <xf numFmtId="0" fontId="0" fillId="3" borderId="17" xfId="0" applyFont="1" applyFill="1" applyBorder="1" applyProtection="1">
      <protection hidden="1"/>
    </xf>
    <xf numFmtId="0" fontId="89" fillId="3" borderId="2" xfId="0" applyFont="1" applyFill="1" applyBorder="1" applyAlignment="1" applyProtection="1">
      <alignment horizontal="left" vertical="center" indent="1"/>
      <protection hidden="1"/>
    </xf>
    <xf numFmtId="0" fontId="89" fillId="3" borderId="42" xfId="0" applyFont="1" applyFill="1" applyBorder="1" applyAlignment="1" applyProtection="1">
      <alignment vertical="center"/>
      <protection hidden="1"/>
    </xf>
    <xf numFmtId="0" fontId="89" fillId="3" borderId="22" xfId="0" applyFont="1" applyFill="1" applyBorder="1" applyAlignment="1" applyProtection="1">
      <alignment vertical="center"/>
      <protection hidden="1"/>
    </xf>
    <xf numFmtId="0" fontId="89" fillId="3" borderId="40" xfId="0" applyFont="1" applyFill="1" applyBorder="1" applyAlignment="1" applyProtection="1">
      <alignment vertical="center"/>
      <protection hidden="1"/>
    </xf>
    <xf numFmtId="0" fontId="89" fillId="3" borderId="0" xfId="0" applyFont="1" applyFill="1" applyBorder="1" applyAlignment="1" applyProtection="1">
      <alignment horizontal="left" vertical="center" indent="1"/>
      <protection hidden="1"/>
    </xf>
    <xf numFmtId="0" fontId="76" fillId="3" borderId="0" xfId="0" applyFont="1" applyFill="1" applyBorder="1" applyAlignment="1" applyProtection="1">
      <alignment vertical="center"/>
      <protection hidden="1"/>
    </xf>
    <xf numFmtId="0" fontId="75" fillId="3" borderId="0" xfId="0" applyFont="1" applyFill="1" applyBorder="1" applyAlignment="1" applyProtection="1">
      <alignment vertical="center"/>
      <protection hidden="1"/>
    </xf>
    <xf numFmtId="0" fontId="77" fillId="3" borderId="0" xfId="0" applyFont="1" applyFill="1" applyBorder="1" applyAlignment="1" applyProtection="1">
      <alignment horizontal="right"/>
      <protection hidden="1"/>
    </xf>
    <xf numFmtId="0" fontId="0" fillId="3" borderId="33" xfId="0" applyFont="1" applyFill="1" applyBorder="1" applyProtection="1">
      <protection hidden="1"/>
    </xf>
    <xf numFmtId="0" fontId="0" fillId="3" borderId="47" xfId="0" applyFont="1" applyFill="1" applyBorder="1" applyProtection="1">
      <protection hidden="1"/>
    </xf>
    <xf numFmtId="0" fontId="30" fillId="3" borderId="22" xfId="0" applyFont="1" applyFill="1" applyBorder="1" applyAlignment="1" applyProtection="1">
      <alignment horizontal="right" vertical="center"/>
      <protection hidden="1"/>
    </xf>
    <xf numFmtId="0" fontId="77" fillId="3" borderId="22" xfId="0" applyFont="1" applyFill="1" applyBorder="1" applyProtection="1">
      <protection hidden="1"/>
    </xf>
    <xf numFmtId="0" fontId="73" fillId="3" borderId="22" xfId="0" applyFont="1" applyFill="1" applyBorder="1" applyProtection="1">
      <protection hidden="1"/>
    </xf>
    <xf numFmtId="0" fontId="0" fillId="3" borderId="22" xfId="0" applyFont="1" applyFill="1" applyBorder="1" applyProtection="1">
      <protection hidden="1"/>
    </xf>
    <xf numFmtId="0" fontId="0" fillId="3" borderId="35" xfId="0" applyFont="1" applyFill="1" applyBorder="1" applyProtection="1">
      <protection hidden="1"/>
    </xf>
    <xf numFmtId="0" fontId="0" fillId="3" borderId="0" xfId="0" applyFont="1" applyFill="1" applyProtection="1">
      <protection hidden="1"/>
    </xf>
    <xf numFmtId="0" fontId="88" fillId="3" borderId="0" xfId="0" applyFont="1" applyFill="1" applyProtection="1">
      <protection hidden="1"/>
    </xf>
    <xf numFmtId="0" fontId="78" fillId="3" borderId="0" xfId="0" applyFont="1" applyFill="1" applyProtection="1">
      <protection hidden="1"/>
    </xf>
    <xf numFmtId="0" fontId="77" fillId="3" borderId="0" xfId="0" applyFont="1" applyFill="1" applyProtection="1">
      <protection hidden="1"/>
    </xf>
    <xf numFmtId="0" fontId="30" fillId="3" borderId="0" xfId="0" applyFont="1" applyFill="1" applyAlignment="1" applyProtection="1">
      <alignment horizontal="right" vertical="center"/>
      <protection hidden="1"/>
    </xf>
    <xf numFmtId="0" fontId="0" fillId="3" borderId="18" xfId="0" applyFont="1" applyFill="1" applyBorder="1" applyProtection="1">
      <protection hidden="1"/>
    </xf>
    <xf numFmtId="0" fontId="89" fillId="3" borderId="19" xfId="0" applyFont="1" applyFill="1" applyBorder="1" applyAlignment="1" applyProtection="1">
      <alignment horizontal="left" vertical="top" indent="1"/>
      <protection hidden="1"/>
    </xf>
    <xf numFmtId="0" fontId="89" fillId="3" borderId="0" xfId="0" applyFont="1" applyFill="1" applyAlignment="1" applyProtection="1">
      <alignment horizontal="right"/>
      <protection hidden="1"/>
    </xf>
    <xf numFmtId="0" fontId="100" fillId="3" borderId="0" xfId="0" applyFont="1" applyFill="1" applyProtection="1">
      <protection hidden="1"/>
    </xf>
    <xf numFmtId="0" fontId="0" fillId="3" borderId="48" xfId="0" applyFont="1" applyFill="1" applyBorder="1" applyProtection="1">
      <protection hidden="1"/>
    </xf>
    <xf numFmtId="0" fontId="30" fillId="3" borderId="0" xfId="0" applyFont="1" applyFill="1" applyBorder="1" applyAlignment="1" applyProtection="1">
      <alignment horizontal="right" vertical="center"/>
      <protection hidden="1"/>
    </xf>
    <xf numFmtId="0" fontId="77" fillId="3" borderId="0" xfId="0" applyFont="1" applyFill="1" applyBorder="1" applyProtection="1">
      <protection hidden="1"/>
    </xf>
    <xf numFmtId="0" fontId="73" fillId="3" borderId="0" xfId="0" applyFont="1" applyFill="1" applyBorder="1" applyProtection="1">
      <protection hidden="1"/>
    </xf>
    <xf numFmtId="0" fontId="0" fillId="3" borderId="30" xfId="0" applyFont="1" applyFill="1" applyBorder="1" applyProtection="1">
      <protection hidden="1"/>
    </xf>
    <xf numFmtId="0" fontId="101" fillId="3" borderId="0" xfId="0" applyFont="1" applyFill="1" applyProtection="1">
      <protection hidden="1"/>
    </xf>
    <xf numFmtId="0" fontId="0" fillId="3" borderId="31" xfId="0" applyFont="1" applyFill="1" applyBorder="1" applyProtection="1">
      <protection hidden="1"/>
    </xf>
    <xf numFmtId="0" fontId="30" fillId="3" borderId="32" xfId="0" applyFont="1" applyFill="1" applyBorder="1" applyAlignment="1" applyProtection="1">
      <alignment horizontal="right" vertical="center"/>
      <protection hidden="1"/>
    </xf>
    <xf numFmtId="0" fontId="0" fillId="3" borderId="32" xfId="0" applyFont="1" applyFill="1" applyBorder="1" applyProtection="1">
      <protection hidden="1"/>
    </xf>
    <xf numFmtId="0" fontId="0" fillId="3" borderId="34" xfId="0" applyFont="1" applyFill="1" applyBorder="1" applyProtection="1">
      <protection hidden="1"/>
    </xf>
    <xf numFmtId="0" fontId="89" fillId="3" borderId="37" xfId="0" applyFont="1" applyFill="1" applyBorder="1" applyAlignment="1" applyProtection="1">
      <alignment vertical="center"/>
      <protection hidden="1"/>
    </xf>
    <xf numFmtId="0" fontId="89" fillId="3" borderId="3" xfId="0" applyFont="1" applyFill="1" applyBorder="1" applyAlignment="1" applyProtection="1">
      <alignment vertical="center"/>
      <protection hidden="1"/>
    </xf>
    <xf numFmtId="0" fontId="0" fillId="3" borderId="3" xfId="0" applyFont="1" applyFill="1" applyBorder="1" applyProtection="1">
      <protection hidden="1"/>
    </xf>
    <xf numFmtId="0" fontId="0" fillId="3" borderId="38" xfId="0" applyFont="1" applyFill="1" applyBorder="1" applyProtection="1">
      <protection hidden="1"/>
    </xf>
    <xf numFmtId="9" fontId="9" fillId="3" borderId="16" xfId="0" applyNumberFormat="1" applyFont="1" applyFill="1" applyBorder="1" applyAlignment="1" applyProtection="1">
      <alignment horizontal="center" vertical="center"/>
      <protection hidden="1"/>
    </xf>
    <xf numFmtId="0" fontId="16" fillId="0" borderId="0" xfId="0" applyFont="1" applyFill="1" applyProtection="1">
      <protection hidden="1"/>
    </xf>
    <xf numFmtId="0" fontId="77" fillId="3" borderId="37" xfId="0" applyFont="1" applyFill="1" applyBorder="1" applyProtection="1">
      <protection hidden="1"/>
    </xf>
    <xf numFmtId="0" fontId="77" fillId="3" borderId="3" xfId="0" applyFont="1" applyFill="1" applyBorder="1" applyProtection="1">
      <protection hidden="1"/>
    </xf>
    <xf numFmtId="0" fontId="77" fillId="3" borderId="38" xfId="0" applyFont="1" applyFill="1" applyBorder="1" applyProtection="1">
      <protection hidden="1"/>
    </xf>
    <xf numFmtId="0" fontId="85" fillId="0" borderId="0" xfId="0" applyFont="1" applyFill="1" applyAlignment="1" applyProtection="1">
      <protection hidden="1"/>
    </xf>
    <xf numFmtId="0" fontId="0" fillId="3" borderId="40" xfId="0" applyFont="1" applyFill="1" applyBorder="1" applyProtection="1">
      <protection hidden="1"/>
    </xf>
    <xf numFmtId="0" fontId="0" fillId="3" borderId="43" xfId="0" applyFont="1" applyFill="1" applyBorder="1" applyProtection="1">
      <protection hidden="1"/>
    </xf>
    <xf numFmtId="0" fontId="0" fillId="3" borderId="44" xfId="0" applyFont="1" applyFill="1" applyBorder="1" applyProtection="1">
      <protection hidden="1"/>
    </xf>
    <xf numFmtId="0" fontId="40" fillId="3" borderId="0" xfId="0" applyFont="1" applyFill="1" applyBorder="1" applyAlignment="1" applyProtection="1">
      <alignment horizontal="right" vertical="center"/>
      <protection hidden="1"/>
    </xf>
    <xf numFmtId="0" fontId="89" fillId="3" borderId="38" xfId="0" applyFont="1" applyFill="1" applyBorder="1" applyAlignment="1" applyProtection="1">
      <alignment vertical="center"/>
      <protection hidden="1"/>
    </xf>
    <xf numFmtId="9" fontId="0" fillId="0" borderId="0" xfId="0" applyNumberFormat="1" applyFont="1" applyFill="1" applyProtection="1">
      <protection hidden="1"/>
    </xf>
    <xf numFmtId="0" fontId="57" fillId="17" borderId="23" xfId="0" applyFont="1" applyFill="1" applyBorder="1" applyAlignment="1" applyProtection="1">
      <alignment horizontal="center" vertical="center"/>
      <protection locked="0" hidden="1"/>
    </xf>
    <xf numFmtId="9" fontId="74" fillId="17" borderId="23" xfId="0" applyNumberFormat="1" applyFont="1" applyFill="1" applyBorder="1" applyAlignment="1" applyProtection="1">
      <alignment horizontal="center" vertical="center"/>
      <protection locked="0" hidden="1"/>
    </xf>
    <xf numFmtId="0" fontId="9" fillId="17" borderId="16" xfId="0" applyNumberFormat="1" applyFont="1" applyFill="1" applyBorder="1" applyAlignment="1" applyProtection="1">
      <alignment horizontal="center" vertical="center"/>
      <protection locked="0" hidden="1"/>
    </xf>
    <xf numFmtId="9" fontId="11" fillId="17" borderId="26" xfId="0" applyNumberFormat="1" applyFont="1" applyFill="1" applyBorder="1" applyAlignment="1" applyProtection="1">
      <alignment horizontal="center" vertical="center"/>
      <protection hidden="1"/>
    </xf>
    <xf numFmtId="0" fontId="91" fillId="11" borderId="1" xfId="0" applyFont="1" applyFill="1" applyBorder="1" applyProtection="1">
      <protection hidden="1"/>
    </xf>
    <xf numFmtId="0" fontId="91" fillId="11" borderId="0" xfId="0" applyFont="1" applyFill="1" applyAlignment="1" applyProtection="1">
      <protection hidden="1"/>
    </xf>
    <xf numFmtId="0" fontId="80" fillId="29" borderId="27" xfId="0" applyFont="1" applyFill="1" applyBorder="1" applyAlignment="1" applyProtection="1">
      <alignment horizontal="left" vertical="center" indent="1"/>
      <protection hidden="1"/>
    </xf>
    <xf numFmtId="0" fontId="91" fillId="29" borderId="29" xfId="0" applyFont="1" applyFill="1" applyBorder="1" applyProtection="1">
      <protection hidden="1"/>
    </xf>
    <xf numFmtId="0" fontId="91" fillId="29" borderId="28" xfId="0" applyFont="1" applyFill="1" applyBorder="1" applyProtection="1">
      <protection hidden="1"/>
    </xf>
    <xf numFmtId="0" fontId="91" fillId="11" borderId="0" xfId="0" applyFont="1" applyFill="1" applyAlignment="1" applyProtection="1">
      <alignment vertical="top"/>
      <protection hidden="1"/>
    </xf>
    <xf numFmtId="0" fontId="74" fillId="11" borderId="0" xfId="0" applyFont="1" applyFill="1" applyAlignment="1" applyProtection="1">
      <alignment horizontal="right"/>
      <protection hidden="1"/>
    </xf>
    <xf numFmtId="0" fontId="94" fillId="11" borderId="0" xfId="0" applyFont="1" applyFill="1" applyBorder="1" applyAlignment="1" applyProtection="1">
      <alignment vertical="center"/>
      <protection hidden="1"/>
    </xf>
    <xf numFmtId="0" fontId="64" fillId="11" borderId="0" xfId="0" applyFont="1" applyFill="1" applyBorder="1" applyAlignment="1" applyProtection="1">
      <alignment horizontal="center"/>
      <protection hidden="1"/>
    </xf>
    <xf numFmtId="0" fontId="64" fillId="11" borderId="0" xfId="0" applyFont="1" applyFill="1" applyBorder="1" applyAlignment="1" applyProtection="1">
      <alignment horizontal="center" wrapText="1"/>
      <protection hidden="1"/>
    </xf>
    <xf numFmtId="0" fontId="91" fillId="11" borderId="0" xfId="0" applyFont="1" applyFill="1" applyAlignment="1" applyProtection="1">
      <alignment horizontal="center" vertical="center"/>
      <protection hidden="1"/>
    </xf>
    <xf numFmtId="0" fontId="30" fillId="11" borderId="0" xfId="0" applyFont="1" applyFill="1" applyBorder="1" applyAlignment="1" applyProtection="1">
      <alignment horizontal="right" vertical="center" indent="1"/>
      <protection hidden="1"/>
    </xf>
    <xf numFmtId="0" fontId="91" fillId="11" borderId="0" xfId="0" applyFont="1" applyFill="1" applyAlignment="1" applyProtection="1">
      <alignment vertical="center"/>
      <protection hidden="1"/>
    </xf>
    <xf numFmtId="0" fontId="0" fillId="17" borderId="26" xfId="0" applyFont="1" applyFill="1" applyBorder="1" applyAlignment="1" applyProtection="1">
      <alignment horizontal="center" vertical="center"/>
      <protection hidden="1"/>
    </xf>
    <xf numFmtId="0" fontId="64" fillId="11" borderId="0" xfId="0" applyFont="1" applyFill="1" applyAlignment="1" applyProtection="1">
      <protection hidden="1"/>
    </xf>
    <xf numFmtId="0" fontId="64" fillId="11" borderId="0" xfId="0" applyFont="1" applyFill="1" applyAlignment="1" applyProtection="1">
      <alignment horizontal="center"/>
      <protection hidden="1"/>
    </xf>
    <xf numFmtId="0" fontId="64" fillId="11" borderId="0" xfId="0" applyFont="1" applyFill="1" applyAlignment="1" applyProtection="1">
      <alignment horizontal="center" wrapText="1"/>
      <protection hidden="1"/>
    </xf>
    <xf numFmtId="0" fontId="30" fillId="11" borderId="0" xfId="0" applyFont="1" applyFill="1" applyAlignment="1" applyProtection="1">
      <alignment horizontal="center"/>
      <protection hidden="1"/>
    </xf>
    <xf numFmtId="0" fontId="94" fillId="11" borderId="0" xfId="0" applyFont="1" applyFill="1" applyAlignment="1" applyProtection="1">
      <alignment horizontal="center" vertical="center" wrapText="1"/>
      <protection hidden="1"/>
    </xf>
    <xf numFmtId="0" fontId="94" fillId="11" borderId="0" xfId="0" applyFont="1" applyFill="1" applyProtection="1">
      <protection hidden="1"/>
    </xf>
    <xf numFmtId="0" fontId="0" fillId="11" borderId="61" xfId="0" applyFont="1" applyFill="1" applyBorder="1" applyAlignment="1" applyProtection="1">
      <alignment horizontal="center" vertical="center"/>
      <protection hidden="1"/>
    </xf>
    <xf numFmtId="9" fontId="0" fillId="11" borderId="61" xfId="0" applyNumberFormat="1" applyFont="1" applyFill="1" applyBorder="1" applyAlignment="1" applyProtection="1">
      <alignment horizontal="center" vertical="center"/>
      <protection hidden="1"/>
    </xf>
    <xf numFmtId="0" fontId="30" fillId="11" borderId="0" xfId="0" applyFont="1" applyFill="1" applyAlignment="1" applyProtection="1">
      <alignment horizontal="right" indent="1"/>
      <protection hidden="1"/>
    </xf>
    <xf numFmtId="0" fontId="91" fillId="11" borderId="0" xfId="0" applyFont="1" applyFill="1" applyAlignment="1" applyProtection="1">
      <alignment horizontal="right"/>
      <protection hidden="1"/>
    </xf>
    <xf numFmtId="0" fontId="115" fillId="11" borderId="0" xfId="0" applyFont="1" applyFill="1" applyAlignment="1" applyProtection="1">
      <protection hidden="1"/>
    </xf>
    <xf numFmtId="0" fontId="94" fillId="11" borderId="0" xfId="0" applyFont="1" applyFill="1" applyAlignment="1" applyProtection="1">
      <protection hidden="1"/>
    </xf>
    <xf numFmtId="0" fontId="30" fillId="11" borderId="0" xfId="0" applyFont="1" applyFill="1" applyAlignment="1" applyProtection="1">
      <alignment wrapText="1"/>
      <protection hidden="1"/>
    </xf>
    <xf numFmtId="0" fontId="30" fillId="11" borderId="0" xfId="0" applyFont="1" applyFill="1" applyAlignment="1" applyProtection="1">
      <alignment vertical="center"/>
      <protection hidden="1"/>
    </xf>
    <xf numFmtId="0" fontId="30" fillId="11" borderId="0" xfId="0" applyFont="1" applyFill="1" applyBorder="1" applyAlignment="1" applyProtection="1">
      <alignment vertical="center"/>
      <protection hidden="1"/>
    </xf>
    <xf numFmtId="0" fontId="30" fillId="11" borderId="0" xfId="0" applyFont="1" applyFill="1" applyAlignment="1" applyProtection="1">
      <alignment horizontal="center" wrapText="1"/>
      <protection hidden="1"/>
    </xf>
    <xf numFmtId="0" fontId="94" fillId="11" borderId="0" xfId="0" applyFont="1" applyFill="1" applyAlignment="1" applyProtection="1">
      <alignment horizontal="center" wrapText="1"/>
      <protection hidden="1"/>
    </xf>
    <xf numFmtId="0" fontId="91" fillId="11" borderId="0" xfId="0" applyFont="1" applyFill="1" applyBorder="1" applyProtection="1">
      <protection hidden="1"/>
    </xf>
    <xf numFmtId="0" fontId="74" fillId="11" borderId="0" xfId="0" applyFont="1" applyFill="1" applyProtection="1">
      <protection hidden="1"/>
    </xf>
    <xf numFmtId="0" fontId="74" fillId="11" borderId="0" xfId="0" applyFont="1" applyFill="1" applyAlignment="1" applyProtection="1">
      <alignment horizontal="right" vertical="center" indent="1"/>
      <protection hidden="1"/>
    </xf>
    <xf numFmtId="0" fontId="74" fillId="11" borderId="62" xfId="0" applyFont="1" applyFill="1" applyBorder="1" applyProtection="1">
      <protection hidden="1"/>
    </xf>
    <xf numFmtId="0" fontId="91" fillId="11" borderId="62" xfId="0" applyFont="1" applyFill="1" applyBorder="1" applyProtection="1">
      <protection hidden="1"/>
    </xf>
    <xf numFmtId="0" fontId="94" fillId="11" borderId="0" xfId="0" applyFont="1" applyFill="1" applyAlignment="1" applyProtection="1">
      <alignment vertical="center"/>
      <protection hidden="1"/>
    </xf>
    <xf numFmtId="0" fontId="30" fillId="11" borderId="0" xfId="0" applyFont="1" applyFill="1" applyAlignment="1" applyProtection="1">
      <alignment horizontal="right" vertical="center" indent="1"/>
      <protection hidden="1"/>
    </xf>
    <xf numFmtId="0" fontId="30" fillId="11" borderId="0" xfId="0" applyFont="1" applyFill="1" applyAlignment="1" applyProtection="1">
      <alignment horizontal="right" vertical="center"/>
      <protection hidden="1"/>
    </xf>
    <xf numFmtId="0" fontId="91" fillId="11" borderId="0" xfId="0" applyFont="1" applyFill="1" applyAlignment="1" applyProtection="1">
      <alignment horizontal="left" vertical="center"/>
      <protection hidden="1"/>
    </xf>
    <xf numFmtId="10" fontId="30" fillId="11" borderId="0" xfId="212" applyNumberFormat="1" applyFont="1" applyFill="1" applyAlignment="1" applyProtection="1">
      <alignment horizontal="left" vertical="center"/>
      <protection hidden="1"/>
    </xf>
    <xf numFmtId="0" fontId="0" fillId="11" borderId="0" xfId="0" applyFont="1" applyFill="1" applyAlignment="1" applyProtection="1">
      <alignment horizontal="right"/>
      <protection hidden="1"/>
    </xf>
    <xf numFmtId="0" fontId="91" fillId="3" borderId="0" xfId="0" applyFont="1" applyFill="1" applyProtection="1">
      <protection hidden="1"/>
    </xf>
    <xf numFmtId="171" fontId="10" fillId="17" borderId="61" xfId="0" applyNumberFormat="1" applyFont="1" applyFill="1" applyBorder="1" applyAlignment="1" applyProtection="1">
      <alignment horizontal="center" vertical="center"/>
      <protection locked="0" hidden="1"/>
    </xf>
    <xf numFmtId="9" fontId="0" fillId="17" borderId="61" xfId="0" applyNumberFormat="1" applyFont="1" applyFill="1" applyBorder="1" applyAlignment="1" applyProtection="1">
      <alignment horizontal="center" vertical="center"/>
      <protection locked="0" hidden="1"/>
    </xf>
    <xf numFmtId="10" fontId="7" fillId="17" borderId="61" xfId="0" applyNumberFormat="1" applyFont="1" applyFill="1" applyBorder="1" applyAlignment="1" applyProtection="1">
      <alignment horizontal="center" vertical="center"/>
      <protection locked="0" hidden="1"/>
    </xf>
    <xf numFmtId="15" fontId="0" fillId="0" borderId="0" xfId="0" applyNumberFormat="1"/>
    <xf numFmtId="14" fontId="0" fillId="0" borderId="0" xfId="0" applyNumberFormat="1" applyAlignment="1">
      <alignment horizontal="left"/>
    </xf>
    <xf numFmtId="0" fontId="0" fillId="0" borderId="26" xfId="0" applyBorder="1"/>
    <xf numFmtId="0" fontId="89" fillId="3" borderId="0" xfId="0" applyFont="1" applyFill="1" applyBorder="1" applyAlignment="1" applyProtection="1">
      <alignment horizontal="right" indent="1"/>
      <protection hidden="1"/>
    </xf>
    <xf numFmtId="0" fontId="0" fillId="0" borderId="0" xfId="0" applyFont="1" applyFill="1" applyProtection="1">
      <protection locked="0" hidden="1"/>
    </xf>
    <xf numFmtId="0" fontId="89" fillId="3" borderId="2" xfId="0" applyFont="1" applyFill="1" applyBorder="1" applyAlignment="1" applyProtection="1">
      <alignment vertical="center"/>
      <protection locked="0" hidden="1"/>
    </xf>
    <xf numFmtId="0" fontId="89" fillId="3" borderId="0" xfId="0" applyFont="1" applyFill="1" applyBorder="1" applyAlignment="1" applyProtection="1">
      <alignment vertical="center"/>
      <protection locked="0" hidden="1"/>
    </xf>
    <xf numFmtId="0" fontId="0" fillId="3" borderId="0" xfId="0" applyFont="1" applyFill="1" applyBorder="1" applyProtection="1">
      <protection locked="0" hidden="1"/>
    </xf>
    <xf numFmtId="0" fontId="0" fillId="3" borderId="17" xfId="0" applyFont="1" applyFill="1" applyBorder="1" applyProtection="1">
      <protection locked="0" hidden="1"/>
    </xf>
    <xf numFmtId="0" fontId="89" fillId="3" borderId="2" xfId="0" applyFont="1" applyFill="1" applyBorder="1" applyAlignment="1" applyProtection="1">
      <alignment horizontal="left" vertical="center" indent="1"/>
      <protection locked="0" hidden="1"/>
    </xf>
    <xf numFmtId="0" fontId="89" fillId="3" borderId="37" xfId="0" applyFont="1" applyFill="1" applyBorder="1" applyAlignment="1" applyProtection="1">
      <alignment vertical="center"/>
      <protection locked="0" hidden="1"/>
    </xf>
    <xf numFmtId="0" fontId="89" fillId="3" borderId="3" xfId="0" applyFont="1" applyFill="1" applyBorder="1" applyAlignment="1" applyProtection="1">
      <alignment vertical="center"/>
      <protection locked="0" hidden="1"/>
    </xf>
    <xf numFmtId="0" fontId="0" fillId="3" borderId="3" xfId="0" applyFont="1" applyFill="1" applyBorder="1" applyProtection="1">
      <protection locked="0" hidden="1"/>
    </xf>
    <xf numFmtId="0" fontId="0" fillId="3" borderId="38" xfId="0" applyFont="1" applyFill="1" applyBorder="1" applyProtection="1">
      <protection locked="0" hidden="1"/>
    </xf>
    <xf numFmtId="0" fontId="40" fillId="3" borderId="0" xfId="0" applyFont="1" applyFill="1" applyBorder="1" applyAlignment="1" applyProtection="1">
      <alignment horizontal="right" vertical="center"/>
      <protection locked="0" hidden="1"/>
    </xf>
    <xf numFmtId="0" fontId="89" fillId="3" borderId="42" xfId="0" applyFont="1" applyFill="1" applyBorder="1" applyAlignment="1" applyProtection="1">
      <alignment vertical="center"/>
      <protection locked="0" hidden="1"/>
    </xf>
    <xf numFmtId="0" fontId="89" fillId="3" borderId="22" xfId="0" applyFont="1" applyFill="1" applyBorder="1" applyAlignment="1" applyProtection="1">
      <alignment vertical="center"/>
      <protection locked="0" hidden="1"/>
    </xf>
    <xf numFmtId="0" fontId="0" fillId="3" borderId="22" xfId="0" applyFont="1" applyFill="1" applyBorder="1" applyProtection="1">
      <protection locked="0" hidden="1"/>
    </xf>
    <xf numFmtId="0" fontId="0" fillId="3" borderId="40" xfId="0" applyFont="1" applyFill="1" applyBorder="1" applyProtection="1">
      <protection locked="0" hidden="1"/>
    </xf>
    <xf numFmtId="0" fontId="89" fillId="3" borderId="41" xfId="0" applyFont="1" applyFill="1" applyBorder="1" applyAlignment="1" applyProtection="1">
      <alignment vertical="center"/>
      <protection locked="0" hidden="1"/>
    </xf>
    <xf numFmtId="0" fontId="89" fillId="3" borderId="36" xfId="0" applyFont="1" applyFill="1" applyBorder="1" applyAlignment="1" applyProtection="1">
      <alignment vertical="center"/>
      <protection locked="0" hidden="1"/>
    </xf>
    <xf numFmtId="0" fontId="0" fillId="3" borderId="39" xfId="0" applyFont="1" applyFill="1" applyBorder="1" applyProtection="1">
      <protection locked="0" hidden="1"/>
    </xf>
    <xf numFmtId="0" fontId="101" fillId="3" borderId="0" xfId="0" applyFont="1" applyFill="1" applyProtection="1">
      <protection locked="0" hidden="1"/>
    </xf>
    <xf numFmtId="0" fontId="0" fillId="17" borderId="0" xfId="0" applyFont="1" applyFill="1" applyAlignment="1" applyProtection="1">
      <protection hidden="1"/>
    </xf>
    <xf numFmtId="0" fontId="0" fillId="0" borderId="0" xfId="0" applyFill="1"/>
    <xf numFmtId="0" fontId="0" fillId="0" borderId="0" xfId="0" applyAlignment="1">
      <alignment horizontal="left"/>
    </xf>
    <xf numFmtId="0" fontId="45" fillId="20" borderId="0" xfId="0" applyFont="1" applyFill="1"/>
    <xf numFmtId="0" fontId="35" fillId="20" borderId="0" xfId="0" applyFont="1" applyFill="1"/>
    <xf numFmtId="0" fontId="0" fillId="0" borderId="0" xfId="0" pivotButton="1"/>
    <xf numFmtId="0" fontId="0" fillId="0" borderId="0" xfId="0" applyNumberFormat="1"/>
    <xf numFmtId="0" fontId="58" fillId="17" borderId="0" xfId="0" applyFont="1" applyFill="1" applyProtection="1">
      <protection hidden="1"/>
    </xf>
    <xf numFmtId="0" fontId="58" fillId="11" borderId="0" xfId="0" applyFont="1" applyFill="1" applyProtection="1">
      <protection hidden="1"/>
    </xf>
    <xf numFmtId="10" fontId="34" fillId="17" borderId="26" xfId="212" applyNumberFormat="1" applyFont="1" applyFill="1" applyBorder="1" applyAlignment="1" applyProtection="1">
      <alignment horizontal="center" vertical="center"/>
      <protection locked="0" hidden="1"/>
    </xf>
    <xf numFmtId="0" fontId="58" fillId="11" borderId="0" xfId="0" applyFont="1" applyFill="1" applyBorder="1" applyProtection="1">
      <protection hidden="1"/>
    </xf>
    <xf numFmtId="0" fontId="58" fillId="17" borderId="0" xfId="0" applyFont="1" applyFill="1" applyBorder="1" applyProtection="1">
      <protection hidden="1"/>
    </xf>
    <xf numFmtId="0" fontId="104" fillId="17" borderId="0" xfId="0" applyFont="1" applyFill="1" applyProtection="1">
      <protection hidden="1"/>
    </xf>
    <xf numFmtId="0" fontId="105" fillId="28" borderId="0" xfId="0" applyFont="1" applyFill="1" applyAlignment="1" applyProtection="1">
      <alignment horizontal="left" vertical="center" indent="1"/>
      <protection hidden="1"/>
    </xf>
    <xf numFmtId="0" fontId="58" fillId="28" borderId="0" xfId="0" applyFont="1" applyFill="1" applyProtection="1">
      <protection hidden="1"/>
    </xf>
    <xf numFmtId="0" fontId="58" fillId="28" borderId="0" xfId="0" applyFont="1" applyFill="1" applyBorder="1" applyProtection="1">
      <protection hidden="1"/>
    </xf>
    <xf numFmtId="0" fontId="49" fillId="20" borderId="0" xfId="0" applyFont="1" applyFill="1" applyAlignment="1" applyProtection="1">
      <alignment vertical="center"/>
      <protection hidden="1"/>
    </xf>
    <xf numFmtId="0" fontId="106" fillId="20" borderId="0" xfId="0" applyFont="1" applyFill="1" applyProtection="1">
      <protection hidden="1"/>
    </xf>
    <xf numFmtId="0" fontId="106" fillId="20" borderId="18" xfId="0" applyFont="1" applyFill="1" applyBorder="1" applyProtection="1">
      <protection hidden="1"/>
    </xf>
    <xf numFmtId="0" fontId="107" fillId="17" borderId="50" xfId="0" applyFont="1" applyFill="1" applyBorder="1" applyProtection="1">
      <protection hidden="1"/>
    </xf>
    <xf numFmtId="0" fontId="58" fillId="17" borderId="50" xfId="0" applyFont="1" applyFill="1" applyBorder="1" applyProtection="1">
      <protection hidden="1"/>
    </xf>
    <xf numFmtId="0" fontId="58"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0" fontId="67" fillId="11" borderId="0" xfId="0" applyFont="1" applyFill="1" applyAlignment="1" applyProtection="1">
      <alignment vertical="center"/>
      <protection hidden="1"/>
    </xf>
    <xf numFmtId="0" fontId="107" fillId="17" borderId="51" xfId="0" applyFont="1" applyFill="1" applyBorder="1" applyProtection="1">
      <protection hidden="1"/>
    </xf>
    <xf numFmtId="0" fontId="58" fillId="17" borderId="51" xfId="0" applyFont="1" applyFill="1" applyBorder="1" applyProtection="1">
      <protection hidden="1"/>
    </xf>
    <xf numFmtId="0" fontId="107" fillId="17" borderId="50" xfId="0" applyFont="1" applyFill="1" applyBorder="1" applyAlignment="1" applyProtection="1">
      <alignment vertical="center"/>
      <protection hidden="1"/>
    </xf>
    <xf numFmtId="0" fontId="55" fillId="17" borderId="50" xfId="0" applyFont="1" applyFill="1" applyBorder="1" applyProtection="1">
      <protection hidden="1"/>
    </xf>
    <xf numFmtId="0" fontId="107" fillId="17" borderId="51" xfId="0" applyFont="1" applyFill="1" applyBorder="1" applyAlignment="1" applyProtection="1">
      <alignment vertical="center"/>
      <protection hidden="1"/>
    </xf>
    <xf numFmtId="0" fontId="55" fillId="17" borderId="51" xfId="0" applyFont="1" applyFill="1" applyBorder="1" applyProtection="1">
      <protection hidden="1"/>
    </xf>
    <xf numFmtId="0" fontId="107" fillId="17" borderId="0" xfId="0" applyFont="1" applyFill="1" applyProtection="1">
      <protection hidden="1"/>
    </xf>
    <xf numFmtId="0" fontId="55" fillId="11" borderId="0" xfId="0" applyFont="1" applyFill="1" applyAlignment="1" applyProtection="1">
      <alignment vertical="center"/>
      <protection hidden="1"/>
    </xf>
    <xf numFmtId="0" fontId="55" fillId="17" borderId="0" xfId="0" applyFont="1" applyFill="1" applyProtection="1">
      <protection hidden="1"/>
    </xf>
    <xf numFmtId="0" fontId="58" fillId="20" borderId="0" xfId="0" applyFont="1" applyFill="1" applyProtection="1">
      <protection hidden="1"/>
    </xf>
    <xf numFmtId="0" fontId="58" fillId="20" borderId="0" xfId="0" applyFont="1" applyFill="1" applyBorder="1" applyProtection="1">
      <protection hidden="1"/>
    </xf>
    <xf numFmtId="0" fontId="33" fillId="20" borderId="0" xfId="0" applyFont="1" applyFill="1" applyAlignment="1" applyProtection="1">
      <alignment horizontal="right" vertical="center"/>
      <protection hidden="1"/>
    </xf>
    <xf numFmtId="0" fontId="58" fillId="20" borderId="18" xfId="0" applyFont="1" applyFill="1" applyBorder="1" applyProtection="1">
      <protection hidden="1"/>
    </xf>
    <xf numFmtId="14" fontId="55" fillId="28" borderId="0" xfId="0" applyNumberFormat="1" applyFont="1" applyFill="1" applyAlignment="1" applyProtection="1">
      <alignment vertical="center"/>
      <protection hidden="1"/>
    </xf>
    <xf numFmtId="0" fontId="103" fillId="11" borderId="0" xfId="0" applyFont="1" applyFill="1" applyProtection="1">
      <protection hidden="1"/>
    </xf>
    <xf numFmtId="171" fontId="103" fillId="11" borderId="0" xfId="0" applyNumberFormat="1" applyFont="1" applyFill="1" applyAlignment="1" applyProtection="1">
      <protection hidden="1"/>
    </xf>
    <xf numFmtId="0" fontId="112" fillId="11" borderId="0" xfId="0" applyFont="1" applyFill="1" applyAlignment="1" applyProtection="1">
      <alignment vertical="center" wrapText="1"/>
      <protection hidden="1"/>
    </xf>
    <xf numFmtId="9" fontId="103" fillId="11" borderId="0" xfId="0" applyNumberFormat="1" applyFont="1" applyFill="1" applyAlignment="1" applyProtection="1">
      <protection hidden="1"/>
    </xf>
    <xf numFmtId="0" fontId="103" fillId="11" borderId="52" xfId="0" applyFont="1" applyFill="1" applyBorder="1" applyProtection="1">
      <protection hidden="1"/>
    </xf>
    <xf numFmtId="0" fontId="108" fillId="17" borderId="0" xfId="0" applyFont="1" applyFill="1" applyAlignment="1" applyProtection="1">
      <alignment vertical="top" wrapText="1"/>
      <protection hidden="1"/>
    </xf>
    <xf numFmtId="171" fontId="114" fillId="17" borderId="0" xfId="0" applyNumberFormat="1" applyFont="1" applyFill="1" applyAlignment="1" applyProtection="1">
      <protection hidden="1"/>
    </xf>
    <xf numFmtId="171" fontId="108" fillId="17" borderId="0" xfId="0" applyNumberFormat="1" applyFont="1" applyFill="1" applyAlignment="1" applyProtection="1">
      <protection hidden="1"/>
    </xf>
    <xf numFmtId="0" fontId="108" fillId="17" borderId="0" xfId="0" applyFont="1" applyFill="1" applyAlignment="1" applyProtection="1">
      <protection hidden="1"/>
    </xf>
    <xf numFmtId="0" fontId="107" fillId="17" borderId="0" xfId="0" applyFont="1" applyFill="1" applyAlignment="1" applyProtection="1">
      <protection hidden="1"/>
    </xf>
    <xf numFmtId="0" fontId="107" fillId="17" borderId="0" xfId="0" applyFont="1" applyFill="1" applyBorder="1" applyAlignment="1" applyProtection="1">
      <protection hidden="1"/>
    </xf>
    <xf numFmtId="0" fontId="58" fillId="20" borderId="17" xfId="0" applyFont="1" applyFill="1" applyBorder="1" applyProtection="1">
      <protection hidden="1"/>
    </xf>
    <xf numFmtId="0" fontId="109" fillId="20" borderId="0" xfId="0" applyFont="1" applyFill="1" applyBorder="1" applyAlignment="1" applyProtection="1">
      <alignment horizontal="left"/>
      <protection hidden="1"/>
    </xf>
    <xf numFmtId="0" fontId="110" fillId="20" borderId="0" xfId="0" applyFont="1" applyFill="1" applyBorder="1" applyAlignment="1" applyProtection="1">
      <alignment horizontal="left"/>
      <protection hidden="1"/>
    </xf>
    <xf numFmtId="0" fontId="110" fillId="20" borderId="18" xfId="0" applyFont="1" applyFill="1" applyBorder="1" applyAlignment="1" applyProtection="1">
      <alignment horizontal="left"/>
      <protection hidden="1"/>
    </xf>
    <xf numFmtId="0" fontId="68" fillId="11" borderId="0" xfId="0" applyFont="1" applyFill="1" applyBorder="1" applyAlignment="1" applyProtection="1">
      <alignment horizontal="left"/>
      <protection hidden="1"/>
    </xf>
    <xf numFmtId="0" fontId="109" fillId="11" borderId="0" xfId="0" applyFont="1" applyFill="1" applyBorder="1" applyAlignment="1" applyProtection="1">
      <alignment horizontal="left"/>
      <protection hidden="1"/>
    </xf>
    <xf numFmtId="1" fontId="58" fillId="17" borderId="0" xfId="0" applyNumberFormat="1" applyFont="1" applyFill="1" applyProtection="1">
      <protection hidden="1"/>
    </xf>
    <xf numFmtId="171" fontId="69" fillId="17" borderId="0" xfId="0" applyNumberFormat="1" applyFont="1" applyFill="1" applyBorder="1" applyAlignment="1" applyProtection="1">
      <alignment horizontal="center" vertical="center" wrapText="1" shrinkToFit="1"/>
      <protection hidden="1"/>
    </xf>
    <xf numFmtId="0" fontId="58" fillId="17" borderId="19" xfId="0" applyFont="1" applyFill="1" applyBorder="1" applyProtection="1">
      <protection hidden="1"/>
    </xf>
    <xf numFmtId="0" fontId="58" fillId="17" borderId="17" xfId="0" applyFont="1" applyFill="1" applyBorder="1" applyProtection="1">
      <protection hidden="1"/>
    </xf>
    <xf numFmtId="0" fontId="107" fillId="11" borderId="0" xfId="0" applyFont="1" applyFill="1" applyAlignment="1" applyProtection="1">
      <protection hidden="1"/>
    </xf>
    <xf numFmtId="0" fontId="70" fillId="17" borderId="50" xfId="0" applyFont="1" applyFill="1" applyBorder="1" applyAlignment="1" applyProtection="1">
      <protection hidden="1"/>
    </xf>
    <xf numFmtId="10" fontId="108" fillId="17" borderId="50" xfId="0" applyNumberFormat="1" applyFont="1" applyFill="1" applyBorder="1" applyAlignment="1" applyProtection="1">
      <protection hidden="1"/>
    </xf>
    <xf numFmtId="0" fontId="108" fillId="17" borderId="50" xfId="0" applyFont="1" applyFill="1" applyBorder="1" applyAlignment="1" applyProtection="1">
      <protection hidden="1"/>
    </xf>
    <xf numFmtId="0" fontId="58" fillId="17" borderId="0" xfId="0" applyFont="1" applyFill="1" applyAlignment="1" applyProtection="1">
      <alignment horizontal="left" vertical="center"/>
      <protection hidden="1"/>
    </xf>
    <xf numFmtId="171" fontId="58" fillId="17" borderId="0" xfId="0" applyNumberFormat="1" applyFont="1" applyFill="1" applyBorder="1" applyAlignment="1" applyProtection="1">
      <alignment horizontal="left" vertical="center"/>
      <protection hidden="1"/>
    </xf>
    <xf numFmtId="0" fontId="70" fillId="17" borderId="0" xfId="0" applyFont="1" applyFill="1" applyAlignment="1" applyProtection="1">
      <protection hidden="1"/>
    </xf>
    <xf numFmtId="0" fontId="58" fillId="17" borderId="50" xfId="0" applyFont="1" applyFill="1" applyBorder="1" applyAlignment="1" applyProtection="1">
      <alignment horizontal="left" vertical="center"/>
      <protection hidden="1"/>
    </xf>
    <xf numFmtId="171" fontId="58" fillId="17" borderId="50" xfId="0" applyNumberFormat="1" applyFont="1" applyFill="1" applyBorder="1" applyAlignment="1" applyProtection="1">
      <alignment horizontal="left" vertical="center"/>
      <protection hidden="1"/>
    </xf>
    <xf numFmtId="0" fontId="70" fillId="17" borderId="53" xfId="0" applyFont="1" applyFill="1" applyBorder="1" applyAlignment="1" applyProtection="1">
      <protection hidden="1"/>
    </xf>
    <xf numFmtId="0" fontId="107" fillId="17" borderId="50" xfId="0" applyFont="1" applyFill="1" applyBorder="1" applyAlignment="1" applyProtection="1">
      <protection hidden="1"/>
    </xf>
    <xf numFmtId="0" fontId="107" fillId="17" borderId="51" xfId="0" applyFont="1" applyFill="1" applyBorder="1" applyAlignment="1" applyProtection="1">
      <protection hidden="1"/>
    </xf>
    <xf numFmtId="171" fontId="107" fillId="17" borderId="51" xfId="0" applyNumberFormat="1" applyFont="1" applyFill="1" applyBorder="1" applyAlignment="1" applyProtection="1">
      <protection hidden="1"/>
    </xf>
    <xf numFmtId="0" fontId="70" fillId="17" borderId="60" xfId="0" applyFont="1" applyFill="1" applyBorder="1" applyAlignment="1" applyProtection="1">
      <protection hidden="1"/>
    </xf>
    <xf numFmtId="0" fontId="58" fillId="17" borderId="60" xfId="0" applyFont="1" applyFill="1" applyBorder="1" applyProtection="1">
      <protection hidden="1"/>
    </xf>
    <xf numFmtId="168" fontId="107" fillId="17" borderId="50" xfId="0" applyNumberFormat="1" applyFont="1" applyFill="1" applyBorder="1" applyAlignment="1" applyProtection="1">
      <protection hidden="1"/>
    </xf>
    <xf numFmtId="10" fontId="103" fillId="17" borderId="51" xfId="0" applyNumberFormat="1" applyFont="1" applyFill="1" applyBorder="1" applyAlignment="1" applyProtection="1">
      <protection hidden="1"/>
    </xf>
    <xf numFmtId="0" fontId="69" fillId="17" borderId="0" xfId="0" applyFont="1" applyFill="1" applyAlignment="1" applyProtection="1">
      <alignment vertical="center"/>
      <protection hidden="1"/>
    </xf>
    <xf numFmtId="0" fontId="55" fillId="11" borderId="0" xfId="0" applyFont="1" applyFill="1" applyAlignment="1" applyProtection="1">
      <alignment horizontal="right" vertical="center"/>
      <protection hidden="1"/>
    </xf>
    <xf numFmtId="0" fontId="0" fillId="0" borderId="16" xfId="0" applyFill="1" applyBorder="1"/>
    <xf numFmtId="0" fontId="107" fillId="17" borderId="0" xfId="0" applyFont="1" applyFill="1" applyBorder="1" applyAlignment="1" applyProtection="1">
      <alignment vertical="center"/>
      <protection hidden="1"/>
    </xf>
    <xf numFmtId="0" fontId="58" fillId="17" borderId="50" xfId="0" applyFont="1" applyFill="1" applyBorder="1" applyAlignment="1" applyProtection="1">
      <alignment vertical="center"/>
      <protection hidden="1"/>
    </xf>
    <xf numFmtId="0" fontId="0" fillId="0" borderId="16" xfId="0" applyBorder="1"/>
    <xf numFmtId="0" fontId="0" fillId="0" borderId="16" xfId="0" applyBorder="1" applyAlignment="1">
      <alignment horizontal="right"/>
    </xf>
    <xf numFmtId="171" fontId="0" fillId="0" borderId="16" xfId="0" applyNumberFormat="1" applyBorder="1"/>
    <xf numFmtId="171" fontId="0" fillId="0" borderId="16" xfId="0" applyNumberFormat="1" applyFill="1" applyBorder="1"/>
    <xf numFmtId="0" fontId="116" fillId="11" borderId="0" xfId="0" applyFont="1" applyFill="1" applyAlignment="1" applyProtection="1">
      <alignment wrapText="1"/>
      <protection hidden="1"/>
    </xf>
    <xf numFmtId="0" fontId="58" fillId="17" borderId="0" xfId="0" applyFont="1" applyFill="1" applyAlignment="1" applyProtection="1">
      <alignment horizontal="left"/>
      <protection hidden="1"/>
    </xf>
    <xf numFmtId="0" fontId="103" fillId="17" borderId="0" xfId="0" applyFont="1" applyFill="1" applyProtection="1">
      <protection hidden="1"/>
    </xf>
    <xf numFmtId="9" fontId="74" fillId="17" borderId="0" xfId="0" applyNumberFormat="1" applyFont="1" applyFill="1" applyBorder="1" applyAlignment="1" applyProtection="1">
      <alignment horizontal="center" vertical="center"/>
      <protection locked="0" hidden="1"/>
    </xf>
    <xf numFmtId="0" fontId="0" fillId="17" borderId="26" xfId="0" applyFont="1" applyFill="1" applyBorder="1" applyAlignment="1" applyProtection="1">
      <alignment horizontal="center" vertical="center" wrapText="1"/>
      <protection locked="0" hidden="1"/>
    </xf>
    <xf numFmtId="0" fontId="5" fillId="11" borderId="0" xfId="0" applyFont="1" applyFill="1" applyAlignment="1" applyProtection="1">
      <alignment horizontal="center" vertical="top"/>
      <protection hidden="1"/>
    </xf>
    <xf numFmtId="0" fontId="30" fillId="0" borderId="0" xfId="0" applyFont="1" applyAlignment="1">
      <alignment horizontal="center"/>
    </xf>
    <xf numFmtId="0" fontId="32" fillId="33" borderId="0" xfId="211" applyFont="1" applyFill="1" applyProtection="1">
      <protection hidden="1"/>
    </xf>
    <xf numFmtId="0" fontId="33" fillId="33" borderId="0" xfId="211" applyFont="1" applyFill="1" applyProtection="1">
      <protection hidden="1"/>
    </xf>
    <xf numFmtId="0" fontId="49" fillId="33" borderId="0" xfId="211" applyFont="1" applyFill="1" applyAlignment="1" applyProtection="1">
      <alignment vertical="center"/>
      <protection hidden="1"/>
    </xf>
    <xf numFmtId="0" fontId="51" fillId="33" borderId="0" xfId="211" applyFont="1" applyFill="1" applyProtection="1">
      <protection hidden="1"/>
    </xf>
    <xf numFmtId="0" fontId="35" fillId="27" borderId="0" xfId="0" applyFont="1" applyFill="1" applyAlignment="1">
      <alignment horizontal="left"/>
    </xf>
    <xf numFmtId="0" fontId="33" fillId="33" borderId="0" xfId="211" applyFont="1" applyFill="1" applyAlignment="1" applyProtection="1">
      <alignment vertical="center"/>
      <protection hidden="1"/>
    </xf>
    <xf numFmtId="0" fontId="60" fillId="33" borderId="0" xfId="211" applyFont="1" applyFill="1" applyProtection="1">
      <protection hidden="1"/>
    </xf>
    <xf numFmtId="0" fontId="0" fillId="27" borderId="0" xfId="0" applyFill="1"/>
    <xf numFmtId="0" fontId="117" fillId="17" borderId="0" xfId="0" applyFont="1" applyFill="1"/>
    <xf numFmtId="0" fontId="79" fillId="17" borderId="0" xfId="0" applyFont="1" applyFill="1"/>
    <xf numFmtId="0" fontId="117" fillId="20" borderId="0" xfId="0" applyFont="1" applyFill="1"/>
    <xf numFmtId="0" fontId="32" fillId="20" borderId="0" xfId="211" applyFont="1" applyFill="1" applyProtection="1">
      <protection hidden="1"/>
    </xf>
    <xf numFmtId="0" fontId="33" fillId="20" borderId="0" xfId="211" applyFont="1" applyFill="1" applyProtection="1">
      <protection hidden="1"/>
    </xf>
    <xf numFmtId="0" fontId="0" fillId="20" borderId="0" xfId="0" applyFont="1" applyFill="1"/>
    <xf numFmtId="0" fontId="51" fillId="20" borderId="0" xfId="211" applyFont="1" applyFill="1" applyProtection="1">
      <protection hidden="1"/>
    </xf>
    <xf numFmtId="166" fontId="0" fillId="20" borderId="0" xfId="208" applyFont="1" applyFill="1" applyAlignment="1"/>
    <xf numFmtId="166" fontId="0" fillId="20" borderId="0" xfId="208" applyFont="1" applyFill="1" applyAlignment="1">
      <alignment wrapText="1"/>
    </xf>
    <xf numFmtId="0" fontId="43" fillId="20" borderId="0" xfId="0" applyFont="1" applyFill="1"/>
    <xf numFmtId="0" fontId="33" fillId="20" borderId="0" xfId="211" applyFont="1" applyFill="1" applyAlignment="1" applyProtection="1">
      <alignment vertical="center"/>
      <protection hidden="1"/>
    </xf>
    <xf numFmtId="0" fontId="50" fillId="20" borderId="0" xfId="0" applyFont="1" applyFill="1" applyAlignment="1"/>
    <xf numFmtId="0" fontId="0" fillId="20" borderId="0" xfId="0" applyFill="1" applyBorder="1"/>
    <xf numFmtId="0" fontId="32" fillId="17" borderId="0" xfId="211" applyFont="1" applyFill="1" applyProtection="1">
      <protection hidden="1"/>
    </xf>
    <xf numFmtId="0" fontId="33" fillId="17" borderId="0" xfId="211" applyFont="1" applyFill="1" applyProtection="1">
      <protection hidden="1"/>
    </xf>
    <xf numFmtId="0" fontId="51" fillId="17" borderId="0" xfId="211" applyFont="1" applyFill="1" applyProtection="1">
      <protection hidden="1"/>
    </xf>
    <xf numFmtId="166" fontId="0" fillId="17" borderId="0" xfId="208" applyFont="1" applyFill="1" applyAlignment="1"/>
    <xf numFmtId="166" fontId="0" fillId="17" borderId="0" xfId="208" applyFont="1" applyFill="1" applyAlignment="1">
      <alignment wrapText="1"/>
    </xf>
    <xf numFmtId="0" fontId="35" fillId="17" borderId="0" xfId="0" applyFont="1" applyFill="1" applyAlignment="1">
      <alignment horizontal="left"/>
    </xf>
    <xf numFmtId="0" fontId="33" fillId="17" borderId="0" xfId="211" applyFont="1" applyFill="1" applyAlignment="1" applyProtection="1">
      <alignment vertical="center"/>
      <protection hidden="1"/>
    </xf>
    <xf numFmtId="0" fontId="50" fillId="17" borderId="0" xfId="0" applyFont="1" applyFill="1" applyAlignment="1"/>
    <xf numFmtId="0" fontId="53" fillId="0" borderId="0" xfId="0" applyFont="1" applyFill="1" applyBorder="1" applyAlignment="1">
      <alignment horizontal="center" vertical="center"/>
    </xf>
    <xf numFmtId="0" fontId="43" fillId="8" borderId="0" xfId="0" applyFont="1" applyFill="1" applyAlignment="1">
      <alignment horizontal="right"/>
    </xf>
    <xf numFmtId="2" fontId="0" fillId="3" borderId="0" xfId="208" applyNumberFormat="1" applyFont="1" applyFill="1" applyBorder="1" applyAlignment="1">
      <alignment horizontal="center"/>
    </xf>
    <xf numFmtId="0" fontId="55" fillId="17" borderId="3" xfId="0" applyFont="1" applyFill="1" applyBorder="1"/>
    <xf numFmtId="0" fontId="58" fillId="17" borderId="3" xfId="0" applyFont="1" applyFill="1" applyBorder="1"/>
    <xf numFmtId="171" fontId="0" fillId="17" borderId="0" xfId="0" applyNumberFormat="1" applyFill="1"/>
    <xf numFmtId="0" fontId="45" fillId="17" borderId="0" xfId="0" applyFont="1" applyFill="1"/>
    <xf numFmtId="171" fontId="0" fillId="17" borderId="0" xfId="212" applyNumberFormat="1" applyFont="1" applyFill="1"/>
    <xf numFmtId="9" fontId="0" fillId="17" borderId="0" xfId="212" applyFont="1" applyFill="1"/>
    <xf numFmtId="171" fontId="0" fillId="17" borderId="0" xfId="208" applyNumberFormat="1" applyFont="1" applyFill="1"/>
    <xf numFmtId="0" fontId="118" fillId="17" borderId="0" xfId="0" applyFont="1" applyFill="1"/>
    <xf numFmtId="0" fontId="30" fillId="17" borderId="74" xfId="0" applyFont="1" applyFill="1" applyBorder="1"/>
    <xf numFmtId="171" fontId="0" fillId="17" borderId="74" xfId="0" applyNumberFormat="1" applyFill="1" applyBorder="1"/>
    <xf numFmtId="0" fontId="55" fillId="17" borderId="14" xfId="0" applyFont="1" applyFill="1" applyBorder="1"/>
    <xf numFmtId="0" fontId="67" fillId="17" borderId="14" xfId="0" applyFont="1" applyFill="1" applyBorder="1" applyAlignment="1">
      <alignment horizontal="center"/>
    </xf>
    <xf numFmtId="9" fontId="0" fillId="17" borderId="0" xfId="212" applyFont="1" applyFill="1" applyAlignment="1">
      <alignment horizontal="center"/>
    </xf>
    <xf numFmtId="0" fontId="58" fillId="17" borderId="74" xfId="0" applyFont="1" applyFill="1" applyBorder="1" applyAlignment="1">
      <alignment horizontal="center"/>
    </xf>
    <xf numFmtId="0" fontId="0" fillId="17" borderId="0" xfId="0" applyFill="1" applyAlignment="1">
      <alignment horizontal="center"/>
    </xf>
    <xf numFmtId="0" fontId="30" fillId="17" borderId="3" xfId="0" applyFont="1" applyFill="1" applyBorder="1"/>
    <xf numFmtId="171" fontId="0" fillId="17" borderId="3" xfId="212" applyNumberFormat="1" applyFont="1" applyFill="1" applyBorder="1"/>
    <xf numFmtId="9" fontId="0" fillId="17" borderId="3" xfId="212" applyFont="1" applyFill="1" applyBorder="1" applyAlignment="1">
      <alignment horizontal="center"/>
    </xf>
    <xf numFmtId="168" fontId="58" fillId="17" borderId="0" xfId="0" applyNumberFormat="1" applyFont="1" applyFill="1"/>
    <xf numFmtId="0" fontId="0" fillId="17" borderId="3" xfId="0" applyFill="1" applyBorder="1"/>
    <xf numFmtId="0" fontId="106" fillId="20" borderId="0" xfId="0" applyFont="1" applyFill="1" applyBorder="1"/>
    <xf numFmtId="0" fontId="49" fillId="20" borderId="0" xfId="0" applyFont="1" applyFill="1" applyBorder="1"/>
    <xf numFmtId="0" fontId="6" fillId="17" borderId="0" xfId="0" applyFont="1" applyFill="1"/>
    <xf numFmtId="0" fontId="58" fillId="17" borderId="0" xfId="0" applyFont="1" applyFill="1" applyAlignment="1">
      <alignment horizontal="left"/>
    </xf>
    <xf numFmtId="0" fontId="47" fillId="17" borderId="3" xfId="0" applyFont="1" applyFill="1" applyBorder="1"/>
    <xf numFmtId="0" fontId="55" fillId="17" borderId="0" xfId="0" applyFont="1" applyFill="1" applyBorder="1"/>
    <xf numFmtId="171" fontId="0" fillId="17" borderId="0" xfId="208" applyNumberFormat="1" applyFont="1" applyFill="1" applyBorder="1" applyAlignment="1">
      <alignment horizontal="left"/>
    </xf>
    <xf numFmtId="0" fontId="0" fillId="17" borderId="16" xfId="0" applyFill="1" applyBorder="1"/>
    <xf numFmtId="166" fontId="0" fillId="17" borderId="16" xfId="208" applyFont="1" applyFill="1" applyBorder="1"/>
    <xf numFmtId="9" fontId="0" fillId="17" borderId="16" xfId="0" applyNumberFormat="1" applyFill="1" applyBorder="1"/>
    <xf numFmtId="166" fontId="0" fillId="17" borderId="16" xfId="0" applyNumberFormat="1" applyFill="1" applyBorder="1"/>
    <xf numFmtId="0" fontId="30" fillId="17" borderId="16" xfId="0" applyFont="1" applyFill="1" applyBorder="1"/>
    <xf numFmtId="0" fontId="30" fillId="17" borderId="0" xfId="0" applyFont="1" applyFill="1" applyBorder="1"/>
    <xf numFmtId="168" fontId="0" fillId="17" borderId="16" xfId="0" applyNumberFormat="1" applyFill="1" applyBorder="1"/>
    <xf numFmtId="0" fontId="74" fillId="17" borderId="0" xfId="0" applyFont="1" applyFill="1" applyBorder="1"/>
    <xf numFmtId="0" fontId="54" fillId="27" borderId="0" xfId="0" applyFont="1" applyFill="1"/>
    <xf numFmtId="0" fontId="58" fillId="27" borderId="0" xfId="0" applyFont="1" applyFill="1"/>
    <xf numFmtId="0" fontId="44" fillId="8" borderId="0" xfId="217" applyFill="1"/>
    <xf numFmtId="0" fontId="0" fillId="8" borderId="0" xfId="0" applyFont="1" applyFill="1" applyAlignment="1">
      <alignment horizontal="right"/>
    </xf>
    <xf numFmtId="171" fontId="0" fillId="17" borderId="0" xfId="0" applyNumberFormat="1" applyFill="1" applyBorder="1"/>
    <xf numFmtId="0" fontId="58" fillId="17" borderId="0" xfId="0" applyFont="1" applyFill="1" applyBorder="1" applyAlignment="1">
      <alignment horizontal="center"/>
    </xf>
    <xf numFmtId="2" fontId="0" fillId="17" borderId="23" xfId="0" applyNumberFormat="1" applyFill="1" applyBorder="1"/>
    <xf numFmtId="0" fontId="30" fillId="17" borderId="0" xfId="0" applyFont="1" applyFill="1" applyAlignment="1">
      <alignment horizontal="center"/>
    </xf>
    <xf numFmtId="171" fontId="0" fillId="17" borderId="23" xfId="208" applyNumberFormat="1" applyFont="1" applyFill="1" applyBorder="1"/>
    <xf numFmtId="171" fontId="0" fillId="17" borderId="45" xfId="208" applyNumberFormat="1" applyFont="1" applyFill="1" applyBorder="1"/>
    <xf numFmtId="171" fontId="0" fillId="17" borderId="16" xfId="0" applyNumberFormat="1" applyFill="1" applyBorder="1"/>
    <xf numFmtId="171" fontId="0" fillId="17" borderId="23" xfId="0" applyNumberFormat="1" applyFill="1" applyBorder="1"/>
    <xf numFmtId="9" fontId="0" fillId="17" borderId="16" xfId="0" applyNumberFormat="1" applyFill="1" applyBorder="1" applyAlignment="1">
      <alignment horizontal="center"/>
    </xf>
    <xf numFmtId="0" fontId="30" fillId="17" borderId="0" xfId="0" applyFont="1" applyFill="1" applyAlignment="1">
      <alignment horizontal="center" wrapText="1"/>
    </xf>
    <xf numFmtId="9" fontId="0" fillId="11" borderId="0" xfId="212" applyFont="1" applyFill="1" applyBorder="1" applyAlignment="1">
      <alignment horizontal="center"/>
    </xf>
    <xf numFmtId="10" fontId="0" fillId="17" borderId="26" xfId="212" applyNumberFormat="1" applyFont="1" applyFill="1" applyBorder="1" applyAlignment="1" applyProtection="1">
      <alignment horizontal="center" vertical="center"/>
      <protection locked="0" hidden="1"/>
    </xf>
    <xf numFmtId="0" fontId="30" fillId="17" borderId="0" xfId="0" applyFont="1" applyFill="1" applyAlignment="1">
      <alignment horizontal="center" wrapText="1"/>
    </xf>
    <xf numFmtId="14" fontId="0" fillId="17" borderId="16" xfId="0" applyNumberFormat="1" applyFont="1" applyFill="1" applyBorder="1"/>
    <xf numFmtId="0" fontId="0" fillId="17" borderId="16" xfId="0" applyFont="1" applyFill="1" applyBorder="1"/>
    <xf numFmtId="0" fontId="30" fillId="17" borderId="0" xfId="0" applyFont="1" applyFill="1" applyBorder="1" applyAlignment="1">
      <alignment horizontal="center" wrapText="1"/>
    </xf>
    <xf numFmtId="0" fontId="47" fillId="17" borderId="0" xfId="0" applyFont="1" applyFill="1" applyBorder="1" applyAlignment="1">
      <alignment horizontal="right" vertical="center"/>
    </xf>
    <xf numFmtId="0" fontId="55" fillId="17" borderId="0" xfId="0" applyFont="1" applyFill="1" applyAlignment="1">
      <alignment horizontal="right" vertical="center"/>
    </xf>
    <xf numFmtId="0" fontId="30" fillId="17" borderId="16" xfId="0" applyFont="1" applyFill="1" applyBorder="1" applyAlignment="1">
      <alignment horizontal="right"/>
    </xf>
    <xf numFmtId="0" fontId="0" fillId="17" borderId="16" xfId="0" applyFill="1" applyBorder="1" applyAlignment="1">
      <alignment horizontal="right"/>
    </xf>
    <xf numFmtId="0" fontId="0" fillId="17" borderId="0" xfId="0" applyFill="1" applyAlignment="1">
      <alignment horizontal="right"/>
    </xf>
    <xf numFmtId="0" fontId="30" fillId="11" borderId="16" xfId="0" applyFont="1" applyFill="1" applyBorder="1" applyAlignment="1">
      <alignment horizontal="right"/>
    </xf>
    <xf numFmtId="0" fontId="30" fillId="17" borderId="0" xfId="0" applyFont="1" applyFill="1" applyAlignment="1">
      <alignment horizontal="right"/>
    </xf>
    <xf numFmtId="0" fontId="80" fillId="20" borderId="0" xfId="0" applyFont="1" applyFill="1" applyAlignment="1">
      <alignment horizontal="right"/>
    </xf>
    <xf numFmtId="9" fontId="11" fillId="17" borderId="26" xfId="212" applyFont="1" applyFill="1" applyBorder="1" applyAlignment="1" applyProtection="1">
      <alignment horizontal="center" vertical="center"/>
      <protection hidden="1"/>
    </xf>
    <xf numFmtId="0" fontId="11" fillId="17" borderId="26" xfId="0" applyFont="1" applyFill="1" applyBorder="1" applyAlignment="1" applyProtection="1">
      <alignment horizontal="center" vertical="center"/>
      <protection hidden="1"/>
    </xf>
    <xf numFmtId="9" fontId="0" fillId="17" borderId="61" xfId="212" applyFont="1" applyFill="1" applyBorder="1" applyAlignment="1" applyProtection="1">
      <alignment horizontal="center" vertical="center"/>
      <protection hidden="1"/>
    </xf>
    <xf numFmtId="0" fontId="55" fillId="17" borderId="0" xfId="0" applyFont="1" applyFill="1" applyAlignment="1">
      <alignment vertical="center"/>
    </xf>
    <xf numFmtId="0" fontId="0" fillId="17" borderId="16" xfId="0" applyFont="1" applyFill="1" applyBorder="1" applyAlignment="1">
      <alignment horizontal="right"/>
    </xf>
    <xf numFmtId="0" fontId="30" fillId="0" borderId="16" xfId="0" applyFont="1" applyBorder="1" applyAlignment="1">
      <alignment horizontal="right"/>
    </xf>
    <xf numFmtId="10" fontId="0" fillId="0" borderId="16" xfId="212" applyNumberFormat="1" applyFont="1" applyBorder="1" applyAlignment="1">
      <alignment horizontal="right"/>
    </xf>
    <xf numFmtId="0" fontId="0" fillId="0" borderId="16" xfId="0" applyFont="1" applyBorder="1" applyAlignment="1">
      <alignment horizontal="right"/>
    </xf>
    <xf numFmtId="9" fontId="0" fillId="0" borderId="15" xfId="0" applyNumberFormat="1" applyFont="1" applyBorder="1" applyAlignment="1">
      <alignment horizontal="right"/>
    </xf>
    <xf numFmtId="168" fontId="0" fillId="0" borderId="13" xfId="0" applyNumberFormat="1" applyFont="1" applyBorder="1" applyAlignment="1">
      <alignment horizontal="right"/>
    </xf>
    <xf numFmtId="0" fontId="0" fillId="11" borderId="16" xfId="0" applyFont="1" applyFill="1" applyBorder="1" applyAlignment="1">
      <alignment horizontal="right"/>
    </xf>
    <xf numFmtId="9" fontId="0" fillId="17" borderId="16" xfId="212" applyFont="1" applyFill="1" applyBorder="1" applyAlignment="1">
      <alignment horizontal="right"/>
    </xf>
    <xf numFmtId="9" fontId="0" fillId="17" borderId="16" xfId="0" applyNumberFormat="1" applyFont="1" applyFill="1" applyBorder="1" applyAlignment="1">
      <alignment horizontal="right"/>
    </xf>
    <xf numFmtId="10" fontId="0" fillId="17" borderId="16" xfId="0" applyNumberFormat="1" applyFont="1" applyFill="1" applyBorder="1" applyAlignment="1">
      <alignment horizontal="right"/>
    </xf>
    <xf numFmtId="168" fontId="0" fillId="17" borderId="16" xfId="0" applyNumberFormat="1" applyFont="1" applyFill="1" applyBorder="1" applyAlignment="1">
      <alignment horizontal="right"/>
    </xf>
    <xf numFmtId="0" fontId="0" fillId="17" borderId="0" xfId="0" applyFont="1" applyFill="1" applyBorder="1"/>
    <xf numFmtId="9" fontId="0" fillId="17" borderId="0" xfId="0" applyNumberFormat="1" applyFont="1" applyFill="1" applyBorder="1"/>
    <xf numFmtId="10" fontId="0" fillId="17" borderId="0" xfId="0" applyNumberFormat="1" applyFont="1" applyFill="1" applyBorder="1"/>
    <xf numFmtId="168" fontId="0" fillId="17" borderId="0" xfId="0" applyNumberFormat="1" applyFont="1" applyFill="1" applyBorder="1"/>
    <xf numFmtId="9" fontId="0" fillId="11" borderId="16" xfId="0" applyNumberFormat="1" applyFont="1" applyFill="1" applyBorder="1" applyAlignment="1">
      <alignment horizontal="right"/>
    </xf>
    <xf numFmtId="10" fontId="0" fillId="11" borderId="16" xfId="0" applyNumberFormat="1" applyFont="1" applyFill="1" applyBorder="1" applyAlignment="1">
      <alignment horizontal="right"/>
    </xf>
    <xf numFmtId="168" fontId="0" fillId="11" borderId="16" xfId="0" applyNumberFormat="1" applyFont="1" applyFill="1" applyBorder="1" applyAlignment="1">
      <alignment horizontal="right"/>
    </xf>
    <xf numFmtId="10" fontId="7" fillId="11" borderId="61" xfId="0" applyNumberFormat="1" applyFont="1" applyFill="1" applyBorder="1" applyAlignment="1" applyProtection="1">
      <alignment horizontal="center" vertical="center"/>
      <protection locked="0" hidden="1"/>
    </xf>
    <xf numFmtId="0" fontId="19" fillId="17" borderId="16" xfId="0" applyFont="1" applyFill="1" applyBorder="1"/>
    <xf numFmtId="0" fontId="53" fillId="17" borderId="16" xfId="0" applyFont="1" applyFill="1" applyBorder="1"/>
    <xf numFmtId="9" fontId="53" fillId="17" borderId="16" xfId="0" applyNumberFormat="1" applyFont="1" applyFill="1" applyBorder="1"/>
    <xf numFmtId="1" fontId="53" fillId="17" borderId="16" xfId="0" applyNumberFormat="1" applyFont="1" applyFill="1" applyBorder="1"/>
    <xf numFmtId="0" fontId="100" fillId="11" borderId="0" xfId="0" applyFont="1" applyFill="1" applyBorder="1" applyAlignment="1" applyProtection="1">
      <alignment vertical="top" wrapText="1"/>
      <protection hidden="1"/>
    </xf>
    <xf numFmtId="0" fontId="30" fillId="11" borderId="0" xfId="0" applyFont="1" applyFill="1" applyProtection="1">
      <protection hidden="1"/>
    </xf>
    <xf numFmtId="0" fontId="0" fillId="17" borderId="23" xfId="0" applyFont="1" applyFill="1" applyBorder="1"/>
    <xf numFmtId="0" fontId="6" fillId="17" borderId="23" xfId="210" applyFont="1" applyFill="1" applyBorder="1" applyAlignment="1" applyProtection="1">
      <alignment horizontal="center"/>
      <protection hidden="1"/>
    </xf>
    <xf numFmtId="9" fontId="0" fillId="0" borderId="16" xfId="0" applyNumberFormat="1" applyFont="1" applyFill="1" applyBorder="1" applyProtection="1">
      <protection hidden="1"/>
    </xf>
    <xf numFmtId="0" fontId="58" fillId="17" borderId="51" xfId="0" applyFont="1" applyFill="1" applyBorder="1" applyAlignment="1" applyProtection="1">
      <alignment vertical="center"/>
      <protection hidden="1"/>
    </xf>
    <xf numFmtId="9" fontId="58" fillId="17" borderId="51" xfId="0" applyNumberFormat="1" applyFont="1" applyFill="1" applyBorder="1" applyAlignment="1" applyProtection="1">
      <alignment horizontal="left" vertical="center"/>
      <protection hidden="1"/>
    </xf>
    <xf numFmtId="0" fontId="58" fillId="17" borderId="14" xfId="0" applyFont="1" applyFill="1" applyBorder="1"/>
    <xf numFmtId="0" fontId="58" fillId="17" borderId="13" xfId="0" applyFont="1" applyFill="1" applyBorder="1"/>
    <xf numFmtId="0" fontId="30" fillId="17" borderId="16" xfId="0" applyFont="1" applyFill="1" applyBorder="1" applyAlignment="1">
      <alignment horizontal="center" wrapText="1"/>
    </xf>
    <xf numFmtId="0" fontId="55" fillId="17" borderId="15" xfId="0" applyFont="1" applyFill="1" applyBorder="1"/>
    <xf numFmtId="171" fontId="30" fillId="17" borderId="0" xfId="0" applyNumberFormat="1" applyFont="1" applyFill="1"/>
    <xf numFmtId="171" fontId="0" fillId="17" borderId="3" xfId="0" applyNumberFormat="1" applyFill="1" applyBorder="1"/>
    <xf numFmtId="7" fontId="43" fillId="3" borderId="0" xfId="208" applyNumberFormat="1" applyFont="1" applyFill="1" applyBorder="1" applyAlignment="1">
      <alignment horizontal="center"/>
    </xf>
    <xf numFmtId="168" fontId="0" fillId="3" borderId="0" xfId="208" applyNumberFormat="1" applyFont="1" applyFill="1" applyBorder="1" applyAlignment="1">
      <alignment horizontal="center"/>
    </xf>
    <xf numFmtId="164" fontId="0" fillId="11" borderId="0" xfId="208" applyNumberFormat="1" applyFont="1" applyFill="1" applyAlignment="1">
      <alignment horizontal="center"/>
    </xf>
    <xf numFmtId="164" fontId="0" fillId="11" borderId="0" xfId="208" applyNumberFormat="1" applyFont="1" applyFill="1" applyAlignment="1">
      <alignment horizontal="center" wrapText="1"/>
    </xf>
    <xf numFmtId="1" fontId="0" fillId="7" borderId="16" xfId="0" applyNumberFormat="1" applyFill="1" applyBorder="1"/>
    <xf numFmtId="0" fontId="33" fillId="20" borderId="0" xfId="0" applyFont="1" applyFill="1"/>
    <xf numFmtId="14" fontId="44" fillId="16" borderId="0" xfId="217" applyNumberFormat="1"/>
    <xf numFmtId="182" fontId="44" fillId="16" borderId="16" xfId="217" applyNumberFormat="1" applyBorder="1" applyAlignment="1">
      <alignment horizontal="right"/>
    </xf>
    <xf numFmtId="182" fontId="119" fillId="0" borderId="16" xfId="221" applyNumberFormat="1" applyFont="1" applyFill="1" applyBorder="1"/>
    <xf numFmtId="10" fontId="44" fillId="16" borderId="16" xfId="217" applyNumberFormat="1" applyBorder="1"/>
    <xf numFmtId="44" fontId="119" fillId="0" borderId="16" xfId="221" applyNumberFormat="1" applyFont="1" applyFill="1" applyBorder="1"/>
    <xf numFmtId="0" fontId="120" fillId="35" borderId="16" xfId="0" applyFont="1" applyFill="1" applyBorder="1" applyAlignment="1">
      <alignment horizontal="center"/>
    </xf>
    <xf numFmtId="0" fontId="44" fillId="16" borderId="16" xfId="217" applyBorder="1"/>
    <xf numFmtId="170" fontId="44" fillId="16" borderId="16" xfId="217" applyNumberFormat="1" applyBorder="1"/>
    <xf numFmtId="170" fontId="119" fillId="0" borderId="16" xfId="221" applyNumberFormat="1" applyFont="1" applyFill="1" applyBorder="1"/>
    <xf numFmtId="0" fontId="39" fillId="0" borderId="0" xfId="0" applyFont="1"/>
    <xf numFmtId="0" fontId="121" fillId="34" borderId="16" xfId="0" applyFont="1" applyFill="1" applyBorder="1" applyAlignment="1">
      <alignment vertical="center" wrapText="1"/>
    </xf>
    <xf numFmtId="0" fontId="122" fillId="34" borderId="16" xfId="0" applyFont="1" applyFill="1" applyBorder="1" applyAlignment="1">
      <alignment vertical="center" wrapText="1"/>
    </xf>
    <xf numFmtId="6" fontId="123" fillId="34" borderId="16" xfId="0" applyNumberFormat="1" applyFont="1" applyFill="1" applyBorder="1" applyAlignment="1">
      <alignment vertical="center" wrapText="1"/>
    </xf>
    <xf numFmtId="6" fontId="122" fillId="34" borderId="16" xfId="0" applyNumberFormat="1" applyFont="1" applyFill="1" applyBorder="1" applyAlignment="1">
      <alignment vertical="center" wrapText="1"/>
    </xf>
    <xf numFmtId="6" fontId="44" fillId="16" borderId="16" xfId="217" applyNumberFormat="1" applyBorder="1" applyAlignment="1">
      <alignment vertical="center" wrapText="1"/>
    </xf>
    <xf numFmtId="188" fontId="44" fillId="16" borderId="11" xfId="217" applyNumberFormat="1" applyBorder="1" applyAlignment="1">
      <alignment vertical="center" wrapText="1"/>
    </xf>
    <xf numFmtId="188" fontId="122" fillId="34" borderId="16" xfId="0" applyNumberFormat="1" applyFont="1" applyFill="1" applyBorder="1" applyAlignment="1">
      <alignment vertical="center" wrapText="1"/>
    </xf>
    <xf numFmtId="0" fontId="122" fillId="34" borderId="0" xfId="0" applyFont="1" applyFill="1" applyBorder="1" applyAlignment="1">
      <alignment vertical="center" wrapText="1"/>
    </xf>
    <xf numFmtId="0" fontId="121" fillId="34" borderId="12" xfId="0" applyFont="1" applyFill="1" applyBorder="1" applyAlignment="1">
      <alignment vertical="center" wrapText="1"/>
    </xf>
    <xf numFmtId="0" fontId="121" fillId="34" borderId="37" xfId="0" applyFont="1" applyFill="1" applyBorder="1" applyAlignment="1">
      <alignment vertical="center" wrapText="1"/>
    </xf>
    <xf numFmtId="0" fontId="121" fillId="34" borderId="26" xfId="0" applyFont="1" applyFill="1" applyBorder="1" applyAlignment="1">
      <alignment vertical="center" wrapText="1"/>
    </xf>
    <xf numFmtId="6" fontId="124" fillId="16" borderId="16" xfId="217" applyNumberFormat="1" applyFont="1" applyBorder="1" applyAlignment="1">
      <alignment vertical="center" wrapText="1"/>
    </xf>
    <xf numFmtId="10" fontId="44" fillId="16" borderId="12" xfId="217" applyNumberFormat="1" applyBorder="1" applyAlignment="1">
      <alignment vertical="center" wrapText="1"/>
    </xf>
    <xf numFmtId="165" fontId="0" fillId="0" borderId="0" xfId="0" quotePrefix="1" applyNumberFormat="1"/>
    <xf numFmtId="0" fontId="0" fillId="0" borderId="0" xfId="0" quotePrefix="1"/>
    <xf numFmtId="189" fontId="0" fillId="0" borderId="0" xfId="0" applyNumberFormat="1"/>
    <xf numFmtId="0" fontId="30" fillId="0" borderId="74" xfId="0" applyFont="1" applyBorder="1"/>
    <xf numFmtId="189" fontId="30" fillId="0" borderId="74" xfId="0" applyNumberFormat="1" applyFont="1" applyBorder="1"/>
    <xf numFmtId="0" fontId="30" fillId="0" borderId="0" xfId="0" applyFont="1" applyFill="1" applyBorder="1"/>
    <xf numFmtId="0" fontId="58" fillId="17" borderId="16" xfId="0" applyFont="1" applyFill="1" applyBorder="1"/>
    <xf numFmtId="0" fontId="30" fillId="0" borderId="0" xfId="0" applyFont="1" applyBorder="1"/>
    <xf numFmtId="189" fontId="30" fillId="0" borderId="0" xfId="0" applyNumberFormat="1" applyFont="1" applyBorder="1"/>
    <xf numFmtId="0" fontId="30" fillId="0" borderId="14" xfId="0" applyFont="1" applyBorder="1"/>
    <xf numFmtId="189" fontId="30" fillId="0" borderId="14" xfId="0" applyNumberFormat="1" applyFont="1" applyBorder="1"/>
    <xf numFmtId="0" fontId="30" fillId="0" borderId="0" xfId="0" applyFont="1" applyFill="1" applyBorder="1" applyAlignment="1">
      <alignment horizontal="right"/>
    </xf>
    <xf numFmtId="171" fontId="30" fillId="0" borderId="0" xfId="0" applyNumberFormat="1" applyFont="1"/>
    <xf numFmtId="168" fontId="0" fillId="0" borderId="0" xfId="0" applyNumberFormat="1" applyFont="1" applyAlignment="1">
      <alignment horizontal="right"/>
    </xf>
    <xf numFmtId="0" fontId="30" fillId="0" borderId="14" xfId="0" applyFont="1" applyBorder="1" applyAlignment="1">
      <alignment horizontal="right"/>
    </xf>
    <xf numFmtId="171" fontId="30" fillId="0" borderId="14" xfId="0" applyNumberFormat="1" applyFont="1" applyBorder="1"/>
    <xf numFmtId="0" fontId="0" fillId="0" borderId="14" xfId="0" applyFill="1" applyBorder="1"/>
    <xf numFmtId="0" fontId="30" fillId="0" borderId="14" xfId="0" applyFont="1" applyFill="1" applyBorder="1" applyAlignment="1">
      <alignment horizontal="right"/>
    </xf>
    <xf numFmtId="0" fontId="0" fillId="0" borderId="20" xfId="0" applyFill="1" applyBorder="1"/>
    <xf numFmtId="0" fontId="30" fillId="0" borderId="20" xfId="0" applyFont="1" applyFill="1" applyBorder="1" applyAlignment="1">
      <alignment horizontal="right"/>
    </xf>
    <xf numFmtId="168" fontId="0" fillId="0" borderId="0" xfId="0" applyNumberFormat="1" applyFont="1" applyFill="1" applyBorder="1" applyAlignment="1">
      <alignment horizontal="right"/>
    </xf>
    <xf numFmtId="0" fontId="0" fillId="0" borderId="3" xfId="0" applyFill="1" applyBorder="1"/>
    <xf numFmtId="168" fontId="0" fillId="0" borderId="3" xfId="0" applyNumberFormat="1" applyFont="1" applyFill="1" applyBorder="1" applyAlignment="1">
      <alignment horizontal="right"/>
    </xf>
    <xf numFmtId="0" fontId="125" fillId="0" borderId="0" xfId="0" applyFont="1" applyFill="1" applyBorder="1" applyAlignment="1" applyProtection="1">
      <alignment horizontal="right"/>
      <protection hidden="1"/>
    </xf>
    <xf numFmtId="168" fontId="43" fillId="0" borderId="0" xfId="0" applyNumberFormat="1" applyFont="1" applyFill="1" applyBorder="1" applyAlignment="1">
      <alignment horizontal="right"/>
    </xf>
    <xf numFmtId="168" fontId="43" fillId="0" borderId="0" xfId="208" applyNumberFormat="1" applyFont="1" applyFill="1" applyBorder="1" applyAlignment="1">
      <alignment horizontal="right"/>
    </xf>
    <xf numFmtId="168" fontId="43" fillId="0" borderId="3" xfId="0" applyNumberFormat="1" applyFont="1" applyFill="1" applyBorder="1" applyAlignment="1">
      <alignment horizontal="right"/>
    </xf>
    <xf numFmtId="0" fontId="112" fillId="0" borderId="20" xfId="0" applyFont="1" applyFill="1" applyBorder="1" applyAlignment="1" applyProtection="1">
      <alignment horizontal="left"/>
      <protection hidden="1"/>
    </xf>
    <xf numFmtId="0" fontId="126" fillId="0" borderId="0" xfId="0" applyFont="1" applyFill="1" applyBorder="1" applyAlignment="1">
      <alignment horizontal="right"/>
    </xf>
    <xf numFmtId="0" fontId="100" fillId="0" borderId="0" xfId="0" applyFont="1" applyFill="1" applyBorder="1" applyAlignment="1">
      <alignment horizontal="right"/>
    </xf>
    <xf numFmtId="0" fontId="100" fillId="0" borderId="3" xfId="0" applyFont="1" applyFill="1" applyBorder="1" applyAlignment="1">
      <alignment horizontal="right"/>
    </xf>
    <xf numFmtId="0" fontId="57" fillId="0" borderId="0" xfId="0" applyFont="1" applyAlignment="1">
      <alignment horizontal="right"/>
    </xf>
    <xf numFmtId="0" fontId="100" fillId="0" borderId="0" xfId="217" applyFont="1" applyFill="1" applyBorder="1" applyAlignment="1">
      <alignment horizontal="right"/>
    </xf>
    <xf numFmtId="168" fontId="30" fillId="0" borderId="14" xfId="0" applyNumberFormat="1" applyFont="1" applyFill="1" applyBorder="1" applyAlignment="1">
      <alignment horizontal="right"/>
    </xf>
    <xf numFmtId="168" fontId="30" fillId="0" borderId="20" xfId="0" applyNumberFormat="1" applyFont="1" applyFill="1" applyBorder="1" applyAlignment="1">
      <alignment horizontal="right"/>
    </xf>
    <xf numFmtId="168" fontId="42" fillId="0" borderId="20" xfId="0" applyNumberFormat="1" applyFont="1" applyFill="1" applyBorder="1" applyAlignment="1">
      <alignment horizontal="right"/>
    </xf>
    <xf numFmtId="0" fontId="0" fillId="0" borderId="14" xfId="0" applyBorder="1"/>
    <xf numFmtId="0" fontId="0" fillId="11" borderId="0" xfId="0" applyFont="1" applyFill="1" applyAlignment="1" applyProtection="1">
      <alignment vertical="top"/>
      <protection hidden="1"/>
    </xf>
    <xf numFmtId="10" fontId="11" fillId="17" borderId="26" xfId="0" applyNumberFormat="1" applyFont="1" applyFill="1" applyBorder="1" applyAlignment="1" applyProtection="1">
      <alignment horizontal="center" vertical="center"/>
      <protection hidden="1"/>
    </xf>
    <xf numFmtId="0" fontId="4" fillId="17" borderId="0" xfId="0" applyFont="1" applyFill="1" applyAlignment="1" applyProtection="1">
      <alignment horizontal="left" vertical="top" wrapText="1"/>
      <protection hidden="1"/>
    </xf>
    <xf numFmtId="0" fontId="117" fillId="0" borderId="0" xfId="0" applyFont="1" applyFill="1"/>
    <xf numFmtId="0" fontId="0" fillId="0" borderId="0" xfId="0" applyFill="1" applyAlignment="1">
      <alignment vertical="center"/>
    </xf>
    <xf numFmtId="0" fontId="0" fillId="2" borderId="0" xfId="0" applyFill="1"/>
    <xf numFmtId="14" fontId="0" fillId="18" borderId="0" xfId="0" applyNumberFormat="1" applyFill="1" applyAlignment="1">
      <alignment horizontal="center"/>
    </xf>
    <xf numFmtId="171" fontId="0" fillId="18" borderId="0" xfId="208" applyNumberFormat="1" applyFont="1" applyFill="1" applyBorder="1" applyAlignment="1">
      <alignment horizontal="center"/>
    </xf>
    <xf numFmtId="0" fontId="0" fillId="18" borderId="0" xfId="0" applyFill="1"/>
    <xf numFmtId="0" fontId="0" fillId="18" borderId="0" xfId="208" applyNumberFormat="1" applyFont="1" applyFill="1" applyBorder="1" applyAlignment="1">
      <alignment horizontal="center"/>
    </xf>
    <xf numFmtId="0" fontId="0" fillId="18" borderId="0" xfId="209" applyNumberFormat="1" applyFont="1" applyFill="1" applyBorder="1" applyAlignment="1">
      <alignment horizontal="center"/>
    </xf>
    <xf numFmtId="174" fontId="0" fillId="18" borderId="0" xfId="212" applyNumberFormat="1" applyFont="1" applyFill="1" applyBorder="1" applyAlignment="1">
      <alignment horizontal="center"/>
    </xf>
    <xf numFmtId="0" fontId="0" fillId="11" borderId="0" xfId="0" applyFill="1"/>
    <xf numFmtId="0" fontId="50" fillId="6" borderId="0" xfId="0" applyFont="1" applyFill="1"/>
    <xf numFmtId="171" fontId="0" fillId="6" borderId="0" xfId="208" applyNumberFormat="1" applyFont="1" applyFill="1" applyBorder="1" applyAlignment="1">
      <alignment horizontal="center"/>
    </xf>
    <xf numFmtId="0" fontId="0" fillId="6" borderId="0" xfId="209" applyNumberFormat="1" applyFont="1" applyFill="1" applyBorder="1" applyAlignment="1">
      <alignment horizontal="center"/>
    </xf>
    <xf numFmtId="171" fontId="0" fillId="2" borderId="0" xfId="208" applyNumberFormat="1" applyFont="1" applyFill="1" applyBorder="1" applyAlignment="1">
      <alignment horizontal="center"/>
    </xf>
    <xf numFmtId="174" fontId="30" fillId="11" borderId="14" xfId="211" applyNumberFormat="1" applyFont="1" applyFill="1" applyBorder="1" applyAlignment="1" applyProtection="1">
      <alignment horizontal="center"/>
      <protection hidden="1"/>
    </xf>
    <xf numFmtId="0" fontId="0" fillId="0" borderId="0" xfId="0" applyFill="1" applyBorder="1" applyAlignment="1">
      <alignment vertical="top"/>
    </xf>
    <xf numFmtId="9" fontId="34" fillId="11" borderId="0" xfId="669" applyNumberFormat="1" applyFill="1" applyAlignment="1">
      <alignment horizontal="center"/>
    </xf>
    <xf numFmtId="168" fontId="66" fillId="11" borderId="0" xfId="670" applyNumberFormat="1" applyFont="1" applyFill="1" applyAlignment="1">
      <alignment horizontal="center"/>
    </xf>
    <xf numFmtId="171" fontId="34" fillId="11" borderId="0" xfId="670" applyNumberFormat="1" applyFont="1" applyFill="1" applyAlignment="1">
      <alignment horizontal="center"/>
    </xf>
    <xf numFmtId="9" fontId="34" fillId="11" borderId="0" xfId="672" applyFont="1" applyFill="1" applyAlignment="1">
      <alignment horizontal="center"/>
    </xf>
    <xf numFmtId="0" fontId="34" fillId="11" borderId="0" xfId="669" applyNumberFormat="1" applyFont="1" applyFill="1" applyAlignment="1">
      <alignment horizontal="center"/>
    </xf>
    <xf numFmtId="171" fontId="0" fillId="11" borderId="0" xfId="670" applyNumberFormat="1" applyFont="1" applyFill="1" applyBorder="1" applyAlignment="1">
      <alignment horizontal="center"/>
    </xf>
    <xf numFmtId="10" fontId="66" fillId="11" borderId="0" xfId="670" applyNumberFormat="1" applyFont="1" applyFill="1" applyAlignment="1">
      <alignment horizontal="center"/>
    </xf>
    <xf numFmtId="10" fontId="34" fillId="11" borderId="0" xfId="212" applyNumberFormat="1" applyFont="1" applyFill="1" applyAlignment="1">
      <alignment horizontal="center"/>
    </xf>
    <xf numFmtId="168" fontId="0" fillId="11" borderId="0" xfId="208" applyNumberFormat="1" applyFont="1" applyFill="1" applyAlignment="1">
      <alignment horizontal="center"/>
    </xf>
    <xf numFmtId="178" fontId="34" fillId="11" borderId="0" xfId="669" applyNumberFormat="1" applyFont="1" applyFill="1" applyAlignment="1">
      <alignment horizontal="center"/>
    </xf>
    <xf numFmtId="10" fontId="34" fillId="11" borderId="0" xfId="670" applyNumberFormat="1" applyFont="1" applyFill="1" applyAlignment="1">
      <alignment horizontal="center"/>
    </xf>
    <xf numFmtId="168" fontId="34" fillId="11" borderId="0" xfId="670" applyNumberFormat="1" applyFont="1" applyFill="1" applyAlignment="1">
      <alignment horizontal="center"/>
    </xf>
    <xf numFmtId="168" fontId="66" fillId="11" borderId="0" xfId="208" applyNumberFormat="1" applyFont="1" applyFill="1" applyBorder="1" applyAlignment="1">
      <alignment horizontal="center"/>
    </xf>
    <xf numFmtId="171" fontId="0" fillId="11" borderId="0" xfId="208" applyNumberFormat="1" applyFont="1" applyFill="1" applyAlignment="1">
      <alignment horizontal="center"/>
    </xf>
    <xf numFmtId="10" fontId="0" fillId="11" borderId="0" xfId="208" applyNumberFormat="1" applyFont="1" applyFill="1" applyAlignment="1">
      <alignment horizontal="center"/>
    </xf>
    <xf numFmtId="10" fontId="0" fillId="11" borderId="0" xfId="212" applyNumberFormat="1" applyFont="1" applyFill="1" applyAlignment="1">
      <alignment horizontal="center"/>
    </xf>
    <xf numFmtId="0" fontId="0" fillId="11" borderId="0" xfId="209" applyNumberFormat="1" applyFont="1" applyFill="1" applyAlignment="1">
      <alignment horizontal="center" vertical="center"/>
    </xf>
    <xf numFmtId="9" fontId="0" fillId="11" borderId="0" xfId="209" applyNumberFormat="1" applyFont="1" applyFill="1" applyBorder="1" applyAlignment="1">
      <alignment horizontal="center"/>
    </xf>
    <xf numFmtId="0" fontId="43" fillId="0" borderId="0" xfId="0" applyFont="1" applyFill="1" applyBorder="1"/>
    <xf numFmtId="0" fontId="30" fillId="36" borderId="0" xfId="0" applyFont="1" applyFill="1"/>
    <xf numFmtId="0" fontId="43" fillId="0" borderId="0" xfId="0" applyNumberFormat="1" applyFont="1" applyFill="1" applyBorder="1" applyAlignment="1">
      <alignment horizontal="center"/>
    </xf>
    <xf numFmtId="0" fontId="0" fillId="0" borderId="0" xfId="0" applyNumberFormat="1" applyFill="1" applyAlignment="1">
      <alignment horizontal="center"/>
    </xf>
    <xf numFmtId="0" fontId="43" fillId="0" borderId="0" xfId="0" applyNumberFormat="1" applyFont="1" applyFill="1" applyAlignment="1">
      <alignment horizontal="center"/>
    </xf>
    <xf numFmtId="171" fontId="0" fillId="3" borderId="0" xfId="0" applyNumberFormat="1" applyFill="1" applyAlignment="1">
      <alignment horizontal="center"/>
    </xf>
    <xf numFmtId="0" fontId="30" fillId="0" borderId="0" xfId="0" applyFont="1" applyFill="1" applyBorder="1" applyAlignment="1">
      <alignment horizontal="left"/>
    </xf>
    <xf numFmtId="0" fontId="0" fillId="0" borderId="0" xfId="0" applyFont="1" applyFill="1" applyBorder="1"/>
    <xf numFmtId="0" fontId="35" fillId="0" borderId="0" xfId="0" applyFont="1" applyFill="1" applyBorder="1" applyAlignment="1">
      <alignment horizontal="left"/>
    </xf>
    <xf numFmtId="0" fontId="30" fillId="0" borderId="0" xfId="0" applyFont="1" applyFill="1" applyBorder="1" applyAlignment="1">
      <alignment horizontal="center"/>
    </xf>
    <xf numFmtId="171" fontId="30" fillId="0" borderId="0" xfId="208" applyNumberFormat="1" applyFont="1" applyFill="1" applyBorder="1" applyAlignment="1">
      <alignment horizontal="center"/>
    </xf>
    <xf numFmtId="15" fontId="0" fillId="2" borderId="0" xfId="0" applyNumberFormat="1" applyFont="1" applyFill="1" applyAlignment="1">
      <alignment horizontal="center" vertical="center"/>
    </xf>
    <xf numFmtId="15" fontId="0" fillId="18" borderId="0" xfId="0" applyNumberFormat="1" applyFont="1" applyFill="1" applyAlignment="1">
      <alignment horizontal="center" vertical="center"/>
    </xf>
    <xf numFmtId="10" fontId="0" fillId="2" borderId="0" xfId="212" applyNumberFormat="1" applyFont="1" applyFill="1" applyBorder="1" applyAlignment="1">
      <alignment horizontal="center"/>
    </xf>
    <xf numFmtId="10" fontId="34" fillId="2" borderId="0" xfId="212" applyNumberFormat="1" applyFont="1" applyFill="1" applyBorder="1" applyAlignment="1">
      <alignment horizontal="center"/>
    </xf>
    <xf numFmtId="174" fontId="0" fillId="2" borderId="0" xfId="212" applyNumberFormat="1" applyFont="1" applyFill="1" applyBorder="1" applyAlignment="1">
      <alignment horizontal="center"/>
    </xf>
    <xf numFmtId="0" fontId="0" fillId="2" borderId="0" xfId="208" applyNumberFormat="1" applyFont="1" applyFill="1" applyBorder="1" applyAlignment="1">
      <alignment horizontal="center"/>
    </xf>
    <xf numFmtId="0" fontId="0" fillId="2" borderId="0" xfId="209" applyNumberFormat="1" applyFont="1" applyFill="1" applyBorder="1" applyAlignment="1">
      <alignment horizontal="center"/>
    </xf>
    <xf numFmtId="10" fontId="0" fillId="2" borderId="0" xfId="0" applyNumberFormat="1" applyFont="1" applyFill="1" applyAlignment="1">
      <alignment horizontal="center" vertical="center"/>
    </xf>
    <xf numFmtId="0" fontId="33" fillId="0" borderId="0" xfId="211" applyFont="1" applyFill="1" applyBorder="1" applyProtection="1">
      <protection hidden="1"/>
    </xf>
    <xf numFmtId="7" fontId="0" fillId="3" borderId="0" xfId="0" applyNumberFormat="1" applyFill="1" applyAlignment="1">
      <alignment horizontal="center"/>
    </xf>
    <xf numFmtId="9" fontId="0" fillId="0" borderId="16" xfId="212" applyFont="1" applyBorder="1"/>
    <xf numFmtId="0" fontId="30" fillId="0" borderId="16" xfId="0" applyFont="1" applyBorder="1"/>
    <xf numFmtId="0" fontId="40" fillId="0" borderId="0" xfId="0" applyFont="1" applyAlignment="1">
      <alignment horizontal="center"/>
    </xf>
    <xf numFmtId="0" fontId="40" fillId="0" borderId="0" xfId="0" applyFont="1" applyFill="1" applyAlignment="1">
      <alignment horizontal="right"/>
    </xf>
    <xf numFmtId="170" fontId="34" fillId="0" borderId="0" xfId="208" applyNumberFormat="1" applyFont="1" applyFill="1" applyAlignment="1">
      <alignment horizontal="center"/>
    </xf>
    <xf numFmtId="10" fontId="0" fillId="0" borderId="0" xfId="212" applyNumberFormat="1" applyFont="1" applyFill="1" applyAlignment="1">
      <alignment horizontal="left"/>
    </xf>
    <xf numFmtId="9" fontId="40" fillId="0" borderId="0" xfId="212" applyFont="1" applyFill="1" applyAlignment="1">
      <alignment horizontal="center"/>
    </xf>
    <xf numFmtId="9" fontId="0" fillId="0" borderId="0" xfId="212" applyFont="1" applyAlignment="1">
      <alignment horizontal="center"/>
    </xf>
    <xf numFmtId="10" fontId="0" fillId="0" borderId="0" xfId="212" applyNumberFormat="1" applyFont="1" applyAlignment="1">
      <alignment horizontal="center"/>
    </xf>
    <xf numFmtId="9" fontId="34" fillId="0" borderId="0" xfId="212" applyFont="1" applyFill="1" applyAlignment="1">
      <alignment horizontal="center"/>
    </xf>
    <xf numFmtId="10" fontId="0" fillId="0" borderId="0" xfId="212" applyNumberFormat="1" applyFont="1" applyFill="1" applyAlignment="1">
      <alignment horizontal="right"/>
    </xf>
    <xf numFmtId="10" fontId="0" fillId="0" borderId="0" xfId="212" applyNumberFormat="1" applyFont="1" applyAlignment="1">
      <alignment horizontal="left"/>
    </xf>
    <xf numFmtId="10" fontId="0" fillId="0" borderId="0" xfId="0" applyNumberFormat="1" applyFont="1" applyFill="1" applyAlignment="1">
      <alignment horizontal="left"/>
    </xf>
    <xf numFmtId="171" fontId="0" fillId="0" borderId="16" xfId="0" applyNumberFormat="1" applyBorder="1" applyAlignment="1">
      <alignment horizontal="right"/>
    </xf>
    <xf numFmtId="171" fontId="88" fillId="17" borderId="0" xfId="0" applyNumberFormat="1" applyFont="1" applyFill="1" applyBorder="1" applyAlignment="1" applyProtection="1">
      <alignment vertical="top"/>
      <protection hidden="1"/>
    </xf>
    <xf numFmtId="0" fontId="0" fillId="17" borderId="0" xfId="0" applyFont="1" applyFill="1" applyBorder="1" applyProtection="1">
      <protection hidden="1"/>
    </xf>
    <xf numFmtId="171" fontId="74" fillId="17" borderId="0" xfId="0" applyNumberFormat="1" applyFont="1" applyFill="1" applyBorder="1" applyAlignment="1" applyProtection="1">
      <alignment vertical="center"/>
      <protection hidden="1"/>
    </xf>
    <xf numFmtId="0" fontId="0" fillId="17" borderId="0" xfId="0" applyFont="1" applyFill="1" applyBorder="1" applyAlignment="1" applyProtection="1">
      <protection hidden="1"/>
    </xf>
    <xf numFmtId="0" fontId="85" fillId="17" borderId="0" xfId="0" applyFont="1" applyFill="1" applyBorder="1" applyAlignment="1" applyProtection="1">
      <alignment vertical="center"/>
      <protection hidden="1"/>
    </xf>
    <xf numFmtId="0" fontId="74" fillId="17" borderId="0" xfId="0" applyFont="1" applyFill="1" applyBorder="1" applyAlignment="1" applyProtection="1">
      <alignment vertical="center"/>
      <protection hidden="1"/>
    </xf>
    <xf numFmtId="0" fontId="86" fillId="17" borderId="0" xfId="0" applyFont="1" applyFill="1" applyBorder="1" applyAlignment="1" applyProtection="1">
      <alignment horizontal="left" indent="1"/>
      <protection hidden="1"/>
    </xf>
    <xf numFmtId="0" fontId="16" fillId="17" borderId="0" xfId="0" applyFont="1" applyFill="1" applyBorder="1" applyProtection="1">
      <protection hidden="1"/>
    </xf>
    <xf numFmtId="0" fontId="89" fillId="17" borderId="0" xfId="0" applyFont="1" applyFill="1" applyBorder="1" applyAlignment="1" applyProtection="1">
      <alignment horizontal="right"/>
      <protection hidden="1"/>
    </xf>
    <xf numFmtId="171" fontId="88" fillId="17" borderId="0" xfId="0" applyNumberFormat="1" applyFont="1" applyFill="1" applyBorder="1" applyAlignment="1" applyProtection="1">
      <alignment horizontal="left"/>
      <protection hidden="1"/>
    </xf>
    <xf numFmtId="0" fontId="0" fillId="17" borderId="0" xfId="0" applyFont="1" applyFill="1" applyBorder="1" applyAlignment="1" applyProtection="1">
      <alignment vertical="top"/>
      <protection hidden="1"/>
    </xf>
    <xf numFmtId="0" fontId="82" fillId="17" borderId="0" xfId="0" applyFont="1" applyFill="1" applyBorder="1" applyAlignment="1" applyProtection="1">
      <protection hidden="1"/>
    </xf>
    <xf numFmtId="171" fontId="83" fillId="17" borderId="0" xfId="0" applyNumberFormat="1" applyFont="1" applyFill="1" applyBorder="1" applyAlignment="1" applyProtection="1">
      <alignment vertical="top"/>
      <protection hidden="1"/>
    </xf>
    <xf numFmtId="0" fontId="89" fillId="17" borderId="0" xfId="0" applyFont="1" applyFill="1" applyBorder="1" applyAlignment="1" applyProtection="1">
      <alignment horizontal="right" vertical="center"/>
      <protection hidden="1"/>
    </xf>
    <xf numFmtId="0" fontId="88" fillId="17" borderId="0" xfId="0" applyFont="1" applyFill="1" applyBorder="1" applyAlignment="1" applyProtection="1">
      <alignment vertical="center"/>
      <protection hidden="1"/>
    </xf>
    <xf numFmtId="0" fontId="0" fillId="17" borderId="0" xfId="0" applyFont="1" applyFill="1" applyBorder="1" applyAlignment="1" applyProtection="1">
      <alignment vertical="center"/>
      <protection hidden="1"/>
    </xf>
    <xf numFmtId="171" fontId="89" fillId="17" borderId="0" xfId="0" applyNumberFormat="1" applyFont="1" applyFill="1" applyBorder="1" applyAlignment="1" applyProtection="1">
      <alignment horizontal="right" vertical="center"/>
      <protection hidden="1"/>
    </xf>
    <xf numFmtId="0" fontId="89" fillId="17" borderId="0" xfId="0" applyFont="1" applyFill="1" applyBorder="1" applyAlignment="1" applyProtection="1">
      <alignment vertical="center"/>
      <protection hidden="1"/>
    </xf>
    <xf numFmtId="0" fontId="89" fillId="17" borderId="0" xfId="0" applyFont="1" applyFill="1" applyBorder="1" applyAlignment="1" applyProtection="1">
      <alignment vertical="top" wrapText="1"/>
      <protection hidden="1"/>
    </xf>
    <xf numFmtId="0" fontId="89" fillId="17" borderId="0" xfId="0" applyFont="1" applyFill="1" applyBorder="1" applyAlignment="1" applyProtection="1">
      <alignment horizontal="left"/>
      <protection hidden="1"/>
    </xf>
    <xf numFmtId="0" fontId="0" fillId="0" borderId="76" xfId="0" applyFont="1" applyFill="1" applyBorder="1" applyProtection="1">
      <protection hidden="1"/>
    </xf>
    <xf numFmtId="0" fontId="0" fillId="0" borderId="76" xfId="0" applyFont="1" applyFill="1" applyBorder="1" applyProtection="1">
      <protection locked="0" hidden="1"/>
    </xf>
    <xf numFmtId="0" fontId="0" fillId="0" borderId="75" xfId="0" applyFont="1" applyFill="1" applyBorder="1" applyProtection="1">
      <protection hidden="1"/>
    </xf>
    <xf numFmtId="0" fontId="0" fillId="0" borderId="77" xfId="0" applyFont="1" applyFill="1" applyBorder="1" applyProtection="1">
      <protection hidden="1"/>
    </xf>
    <xf numFmtId="171" fontId="88" fillId="17" borderId="0" xfId="0" applyNumberFormat="1" applyFont="1" applyFill="1" applyBorder="1" applyAlignment="1" applyProtection="1">
      <alignment horizontal="left" vertical="center"/>
      <protection hidden="1"/>
    </xf>
    <xf numFmtId="0" fontId="107" fillId="17" borderId="0" xfId="0" applyFont="1" applyFill="1" applyBorder="1" applyAlignment="1" applyProtection="1">
      <alignment wrapText="1"/>
      <protection hidden="1"/>
    </xf>
    <xf numFmtId="0" fontId="74" fillId="17" borderId="0" xfId="0" applyFont="1" applyFill="1" applyBorder="1" applyAlignment="1" applyProtection="1">
      <alignment wrapText="1"/>
      <protection hidden="1"/>
    </xf>
    <xf numFmtId="0" fontId="30" fillId="17" borderId="0" xfId="0" applyFont="1" applyFill="1" applyBorder="1" applyAlignment="1" applyProtection="1">
      <alignment vertical="center" wrapText="1"/>
      <protection hidden="1"/>
    </xf>
    <xf numFmtId="0" fontId="0" fillId="0" borderId="2" xfId="0" applyFont="1" applyFill="1" applyBorder="1" applyProtection="1">
      <protection hidden="1"/>
    </xf>
    <xf numFmtId="0" fontId="79" fillId="17" borderId="0" xfId="0" applyFont="1" applyFill="1" applyBorder="1" applyAlignment="1" applyProtection="1">
      <alignment vertical="center" wrapText="1"/>
      <protection hidden="1"/>
    </xf>
    <xf numFmtId="0" fontId="0" fillId="17" borderId="0" xfId="0" applyFont="1" applyFill="1" applyBorder="1" applyAlignment="1" applyProtection="1">
      <alignment vertical="center" wrapText="1"/>
      <protection hidden="1"/>
    </xf>
    <xf numFmtId="171" fontId="88" fillId="17" borderId="0" xfId="0" applyNumberFormat="1" applyFont="1" applyFill="1" applyBorder="1" applyAlignment="1" applyProtection="1">
      <protection hidden="1"/>
    </xf>
    <xf numFmtId="0" fontId="89" fillId="17" borderId="0" xfId="0" applyFont="1" applyFill="1" applyBorder="1" applyAlignment="1" applyProtection="1">
      <alignment vertical="top"/>
      <protection hidden="1"/>
    </xf>
    <xf numFmtId="171" fontId="0" fillId="0" borderId="16" xfId="208" applyNumberFormat="1" applyFont="1" applyBorder="1"/>
    <xf numFmtId="0" fontId="80" fillId="37" borderId="15" xfId="0" applyFont="1" applyFill="1" applyBorder="1" applyAlignment="1" applyProtection="1">
      <alignment horizontal="left" vertical="center" indent="1"/>
      <protection hidden="1"/>
    </xf>
    <xf numFmtId="0" fontId="45" fillId="37" borderId="14" xfId="0" applyFont="1" applyFill="1" applyBorder="1" applyProtection="1">
      <protection hidden="1"/>
    </xf>
    <xf numFmtId="0" fontId="81" fillId="37" borderId="14" xfId="0" applyFont="1" applyFill="1" applyBorder="1" applyAlignment="1" applyProtection="1">
      <alignment vertical="top"/>
      <protection hidden="1"/>
    </xf>
    <xf numFmtId="0" fontId="45" fillId="37" borderId="13" xfId="0" applyFont="1" applyFill="1" applyBorder="1" applyProtection="1">
      <protection hidden="1"/>
    </xf>
    <xf numFmtId="0" fontId="45" fillId="37" borderId="14" xfId="0" applyFont="1" applyFill="1" applyBorder="1" applyAlignment="1" applyProtection="1">
      <alignment vertical="center"/>
      <protection hidden="1"/>
    </xf>
    <xf numFmtId="0" fontId="45" fillId="37" borderId="13" xfId="0" applyFont="1" applyFill="1" applyBorder="1" applyAlignment="1" applyProtection="1">
      <alignment vertical="center"/>
      <protection hidden="1"/>
    </xf>
    <xf numFmtId="0" fontId="80" fillId="37" borderId="15" xfId="0" applyFont="1" applyFill="1" applyBorder="1" applyAlignment="1" applyProtection="1">
      <alignment horizontal="left" vertical="center" indent="1"/>
      <protection locked="0" hidden="1"/>
    </xf>
    <xf numFmtId="0" fontId="45" fillId="37" borderId="14" xfId="0" applyFont="1" applyFill="1" applyBorder="1" applyAlignment="1" applyProtection="1">
      <alignment vertical="center"/>
      <protection locked="0" hidden="1"/>
    </xf>
    <xf numFmtId="0" fontId="45" fillId="37" borderId="13" xfId="0" applyFont="1" applyFill="1" applyBorder="1" applyAlignment="1" applyProtection="1">
      <alignment vertical="center"/>
      <protection locked="0" hidden="1"/>
    </xf>
    <xf numFmtId="0" fontId="74" fillId="17" borderId="0" xfId="0" applyFont="1" applyFill="1" applyBorder="1" applyAlignment="1" applyProtection="1">
      <alignment vertical="center" wrapText="1"/>
      <protection hidden="1"/>
    </xf>
    <xf numFmtId="9" fontId="108" fillId="17" borderId="51" xfId="0" applyNumberFormat="1" applyFont="1" applyFill="1" applyBorder="1" applyAlignment="1" applyProtection="1">
      <protection hidden="1"/>
    </xf>
    <xf numFmtId="0" fontId="70" fillId="17" borderId="51" xfId="0" applyFont="1" applyFill="1" applyBorder="1" applyAlignment="1" applyProtection="1">
      <protection hidden="1"/>
    </xf>
    <xf numFmtId="0" fontId="70" fillId="17" borderId="0" xfId="0" applyFont="1" applyFill="1" applyAlignment="1" applyProtection="1">
      <alignment horizontal="left"/>
      <protection hidden="1"/>
    </xf>
    <xf numFmtId="174" fontId="70" fillId="17" borderId="0" xfId="0" applyNumberFormat="1" applyFont="1" applyFill="1" applyAlignment="1" applyProtection="1">
      <alignment horizontal="left"/>
      <protection hidden="1"/>
    </xf>
    <xf numFmtId="174" fontId="70" fillId="17" borderId="50" xfId="0" applyNumberFormat="1" applyFont="1" applyFill="1" applyBorder="1" applyAlignment="1" applyProtection="1">
      <alignment horizontal="left"/>
      <protection hidden="1"/>
    </xf>
    <xf numFmtId="0" fontId="58" fillId="17" borderId="0" xfId="0" applyFont="1" applyFill="1" applyAlignment="1" applyProtection="1">
      <alignment vertical="center"/>
      <protection hidden="1"/>
    </xf>
    <xf numFmtId="171" fontId="7" fillId="17" borderId="26" xfId="0" applyNumberFormat="1" applyFont="1" applyFill="1" applyBorder="1" applyAlignment="1" applyProtection="1">
      <alignment horizontal="center" vertical="center"/>
      <protection locked="0" hidden="1"/>
    </xf>
    <xf numFmtId="0" fontId="107" fillId="11" borderId="0" xfId="0" applyFont="1" applyFill="1" applyAlignment="1" applyProtection="1">
      <alignment vertical="center" wrapText="1"/>
      <protection hidden="1"/>
    </xf>
    <xf numFmtId="0" fontId="103" fillId="11" borderId="0" xfId="0" applyFont="1" applyFill="1" applyAlignment="1" applyProtection="1">
      <alignment vertical="center" wrapText="1"/>
      <protection hidden="1"/>
    </xf>
    <xf numFmtId="0" fontId="35" fillId="0" borderId="0" xfId="0" applyFont="1" applyFill="1" applyBorder="1"/>
    <xf numFmtId="0" fontId="45" fillId="0" borderId="0" xfId="0" applyFont="1" applyFill="1" applyBorder="1"/>
    <xf numFmtId="0" fontId="0" fillId="0" borderId="0" xfId="0" applyFill="1" applyBorder="1" applyAlignment="1">
      <alignment horizontal="center"/>
    </xf>
    <xf numFmtId="9" fontId="0" fillId="0" borderId="0" xfId="212" applyFont="1" applyFill="1" applyBorder="1"/>
    <xf numFmtId="9" fontId="0" fillId="0" borderId="0" xfId="0" applyNumberFormat="1" applyFill="1" applyBorder="1"/>
    <xf numFmtId="10" fontId="0" fillId="0" borderId="0" xfId="212" applyNumberFormat="1" applyFont="1" applyFill="1" applyBorder="1"/>
    <xf numFmtId="2" fontId="58" fillId="17" borderId="16" xfId="0" applyNumberFormat="1" applyFont="1" applyFill="1" applyBorder="1"/>
    <xf numFmtId="0" fontId="114" fillId="17" borderId="0" xfId="0" applyFont="1" applyFill="1" applyProtection="1">
      <protection hidden="1"/>
    </xf>
    <xf numFmtId="0" fontId="137" fillId="27" borderId="0" xfId="0" applyFont="1" applyFill="1"/>
    <xf numFmtId="0" fontId="0" fillId="17" borderId="26" xfId="0" applyFont="1" applyFill="1" applyBorder="1" applyAlignment="1" applyProtection="1">
      <alignment horizontal="center" vertical="center"/>
      <protection locked="0" hidden="1"/>
    </xf>
    <xf numFmtId="10" fontId="0" fillId="0" borderId="16" xfId="0" applyNumberFormat="1" applyFont="1" applyFill="1" applyBorder="1" applyProtection="1">
      <protection hidden="1"/>
    </xf>
    <xf numFmtId="0" fontId="2" fillId="17" borderId="0" xfId="5052" applyFont="1" applyFill="1"/>
    <xf numFmtId="166" fontId="2" fillId="17" borderId="0" xfId="5052" applyNumberFormat="1" applyFont="1" applyFill="1"/>
    <xf numFmtId="166" fontId="2" fillId="17" borderId="2" xfId="5052" applyNumberFormat="1" applyFont="1" applyFill="1" applyBorder="1"/>
    <xf numFmtId="189" fontId="2" fillId="17" borderId="0" xfId="5052" applyNumberFormat="1" applyFont="1" applyFill="1"/>
    <xf numFmtId="189" fontId="2" fillId="17" borderId="0" xfId="5052" applyNumberFormat="1" applyFont="1" applyFill="1" applyAlignment="1">
      <alignment horizontal="left"/>
    </xf>
    <xf numFmtId="0" fontId="69" fillId="17" borderId="0" xfId="0" applyFont="1" applyFill="1" applyAlignment="1" applyProtection="1">
      <protection hidden="1"/>
    </xf>
    <xf numFmtId="171" fontId="103" fillId="17" borderId="50" xfId="0" applyNumberFormat="1" applyFont="1" applyFill="1" applyBorder="1" applyAlignment="1" applyProtection="1">
      <alignment horizontal="left"/>
      <protection hidden="1"/>
    </xf>
    <xf numFmtId="171" fontId="103" fillId="17" borderId="51" xfId="0" applyNumberFormat="1" applyFont="1" applyFill="1" applyBorder="1" applyAlignment="1" applyProtection="1">
      <alignment horizontal="left"/>
      <protection hidden="1"/>
    </xf>
    <xf numFmtId="0" fontId="107" fillId="17" borderId="51" xfId="0" applyFont="1" applyFill="1" applyBorder="1" applyAlignment="1" applyProtection="1">
      <alignment horizontal="left"/>
      <protection hidden="1"/>
    </xf>
    <xf numFmtId="0" fontId="108" fillId="17" borderId="0" xfId="0" applyFont="1" applyFill="1" applyAlignment="1" applyProtection="1">
      <alignment horizontal="left"/>
      <protection hidden="1"/>
    </xf>
    <xf numFmtId="0" fontId="68" fillId="17" borderId="0" xfId="0" applyFont="1" applyFill="1" applyBorder="1" applyAlignment="1" applyProtection="1">
      <alignment horizontal="left" vertical="center" wrapText="1"/>
      <protection hidden="1"/>
    </xf>
    <xf numFmtId="0" fontId="108" fillId="17" borderId="50" xfId="0" applyFont="1" applyFill="1" applyBorder="1" applyAlignment="1" applyProtection="1">
      <alignment horizontal="left"/>
      <protection hidden="1"/>
    </xf>
    <xf numFmtId="0" fontId="107" fillId="11" borderId="0" xfId="0" applyFont="1" applyFill="1" applyAlignment="1" applyProtection="1">
      <alignment horizontal="left"/>
      <protection hidden="1"/>
    </xf>
    <xf numFmtId="0" fontId="70" fillId="17" borderId="50" xfId="0" applyFont="1" applyFill="1" applyBorder="1" applyAlignment="1" applyProtection="1">
      <alignment horizontal="left"/>
      <protection hidden="1"/>
    </xf>
    <xf numFmtId="0" fontId="58" fillId="17" borderId="1" xfId="0" applyFont="1" applyFill="1" applyBorder="1" applyProtection="1">
      <protection hidden="1"/>
    </xf>
    <xf numFmtId="0" fontId="139" fillId="17" borderId="0" xfId="0" applyFont="1" applyFill="1" applyBorder="1" applyAlignment="1" applyProtection="1">
      <alignment vertical="top"/>
      <protection hidden="1"/>
    </xf>
    <xf numFmtId="168" fontId="0" fillId="0" borderId="0" xfId="0" applyNumberFormat="1"/>
    <xf numFmtId="190" fontId="0" fillId="0" borderId="0" xfId="0" applyNumberFormat="1"/>
    <xf numFmtId="0" fontId="58" fillId="11" borderId="16" xfId="0" applyFont="1" applyFill="1" applyBorder="1"/>
    <xf numFmtId="1" fontId="0" fillId="0" borderId="16" xfId="0" applyNumberFormat="1" applyBorder="1"/>
    <xf numFmtId="165" fontId="2" fillId="17" borderId="0" xfId="5052" applyNumberFormat="1" applyFont="1" applyFill="1"/>
    <xf numFmtId="189" fontId="2" fillId="11" borderId="0" xfId="5052" applyNumberFormat="1" applyFont="1" applyFill="1"/>
    <xf numFmtId="166" fontId="2" fillId="11" borderId="2" xfId="5052" applyNumberFormat="1" applyFont="1" applyFill="1" applyBorder="1"/>
    <xf numFmtId="189" fontId="2" fillId="11" borderId="0" xfId="5052" applyNumberFormat="1" applyFont="1" applyFill="1" applyAlignment="1">
      <alignment horizontal="left"/>
    </xf>
    <xf numFmtId="0" fontId="136" fillId="17" borderId="0" xfId="0" applyFont="1" applyFill="1" applyProtection="1">
      <protection hidden="1"/>
    </xf>
    <xf numFmtId="0" fontId="128" fillId="17" borderId="0" xfId="0" applyFont="1" applyFill="1" applyProtection="1">
      <protection hidden="1"/>
    </xf>
    <xf numFmtId="0" fontId="129" fillId="17" borderId="0" xfId="0" applyFont="1" applyFill="1" applyProtection="1">
      <protection hidden="1"/>
    </xf>
    <xf numFmtId="0" fontId="128" fillId="17" borderId="0" xfId="0" applyFont="1" applyFill="1" applyAlignment="1" applyProtection="1">
      <alignment vertical="top"/>
      <protection hidden="1"/>
    </xf>
    <xf numFmtId="0" fontId="128" fillId="17" borderId="0" xfId="0" applyFont="1" applyFill="1" applyAlignment="1" applyProtection="1">
      <alignment horizontal="left" vertical="top" wrapText="1"/>
      <protection hidden="1"/>
    </xf>
    <xf numFmtId="0" fontId="134" fillId="17" borderId="0" xfId="0" applyFont="1" applyFill="1" applyAlignment="1" applyProtection="1">
      <alignment horizontal="center" vertical="top"/>
      <protection hidden="1"/>
    </xf>
    <xf numFmtId="0" fontId="128" fillId="17" borderId="0" xfId="0" applyFont="1" applyFill="1" applyAlignment="1" applyProtection="1">
      <alignment horizontal="center" vertical="top"/>
      <protection hidden="1"/>
    </xf>
    <xf numFmtId="0" fontId="128" fillId="17" borderId="0" xfId="0" applyFont="1" applyFill="1" applyAlignment="1" applyProtection="1">
      <alignment horizontal="left"/>
      <protection hidden="1"/>
    </xf>
    <xf numFmtId="0" fontId="130" fillId="17" borderId="0" xfId="0" applyFont="1" applyFill="1" applyAlignment="1" applyProtection="1">
      <alignment horizontal="right"/>
      <protection hidden="1"/>
    </xf>
    <xf numFmtId="0" fontId="38" fillId="11" borderId="0" xfId="0" applyFont="1" applyFill="1" applyAlignment="1" applyProtection="1">
      <alignment vertical="center" wrapText="1"/>
      <protection hidden="1"/>
    </xf>
    <xf numFmtId="0" fontId="38" fillId="11" borderId="0" xfId="0" applyFont="1" applyFill="1" applyAlignment="1" applyProtection="1">
      <alignment vertical="top" wrapText="1"/>
      <protection hidden="1"/>
    </xf>
    <xf numFmtId="0" fontId="79" fillId="17" borderId="0" xfId="0" applyFont="1" applyFill="1" applyBorder="1" applyAlignment="1" applyProtection="1">
      <alignment vertical="top"/>
    </xf>
    <xf numFmtId="0" fontId="128" fillId="17" borderId="0" xfId="0" applyFont="1" applyFill="1" applyAlignment="1" applyProtection="1">
      <alignment horizontal="left"/>
      <protection hidden="1"/>
    </xf>
    <xf numFmtId="0" fontId="128" fillId="17" borderId="0" xfId="0" applyFont="1" applyFill="1" applyAlignment="1" applyProtection="1">
      <alignment horizontal="left" vertical="top" wrapText="1"/>
      <protection hidden="1"/>
    </xf>
    <xf numFmtId="0" fontId="134" fillId="17" borderId="0" xfId="0" applyFont="1" applyFill="1" applyAlignment="1" applyProtection="1">
      <alignment horizontal="center" vertical="top"/>
      <protection hidden="1"/>
    </xf>
    <xf numFmtId="0" fontId="128" fillId="17" borderId="0" xfId="0" applyFont="1" applyFill="1" applyAlignment="1" applyProtection="1">
      <alignment horizontal="center" vertical="top"/>
      <protection hidden="1"/>
    </xf>
    <xf numFmtId="0" fontId="130" fillId="17" borderId="0" xfId="0" applyFont="1" applyFill="1" applyAlignment="1" applyProtection="1">
      <alignment horizontal="right"/>
      <protection hidden="1"/>
    </xf>
    <xf numFmtId="44" fontId="0" fillId="0" borderId="0" xfId="0" applyNumberFormat="1" applyFill="1"/>
    <xf numFmtId="6" fontId="122" fillId="10" borderId="16" xfId="0" applyNumberFormat="1" applyFont="1" applyFill="1" applyBorder="1" applyAlignment="1">
      <alignment vertical="center" wrapText="1"/>
    </xf>
    <xf numFmtId="188" fontId="122" fillId="10" borderId="16" xfId="0" applyNumberFormat="1" applyFont="1" applyFill="1" applyBorder="1" applyAlignment="1">
      <alignment vertical="center" wrapText="1"/>
    </xf>
    <xf numFmtId="0" fontId="122" fillId="10" borderId="16" xfId="0" applyFont="1" applyFill="1" applyBorder="1" applyAlignment="1">
      <alignment vertical="center" wrapText="1"/>
    </xf>
    <xf numFmtId="188" fontId="44" fillId="10" borderId="11" xfId="217" applyNumberFormat="1" applyFill="1" applyBorder="1" applyAlignment="1">
      <alignment vertical="center" wrapText="1"/>
    </xf>
    <xf numFmtId="182" fontId="3" fillId="10" borderId="16" xfId="221" applyNumberFormat="1" applyFont="1" applyFill="1" applyBorder="1"/>
    <xf numFmtId="44" fontId="3" fillId="10" borderId="16" xfId="221" applyNumberFormat="1" applyFont="1" applyFill="1" applyBorder="1"/>
    <xf numFmtId="10" fontId="44" fillId="10" borderId="12" xfId="217" applyNumberFormat="1" applyFill="1" applyBorder="1" applyAlignment="1">
      <alignment vertical="center" wrapText="1"/>
    </xf>
    <xf numFmtId="170" fontId="3" fillId="10" borderId="16" xfId="221" applyNumberFormat="1" applyFont="1" applyFill="1" applyBorder="1"/>
    <xf numFmtId="0" fontId="0" fillId="39" borderId="0" xfId="0" applyFill="1"/>
    <xf numFmtId="14" fontId="44" fillId="39" borderId="0" xfId="217" applyNumberFormat="1" applyFill="1"/>
    <xf numFmtId="182" fontId="3" fillId="39" borderId="16" xfId="221" applyNumberFormat="1" applyFont="1" applyFill="1" applyBorder="1"/>
    <xf numFmtId="9" fontId="3" fillId="39" borderId="16" xfId="212" applyFont="1" applyFill="1" applyBorder="1"/>
    <xf numFmtId="0" fontId="74" fillId="0" borderId="0" xfId="0" applyFont="1" applyFill="1"/>
    <xf numFmtId="190" fontId="44" fillId="39" borderId="16" xfId="217" applyNumberFormat="1" applyFill="1" applyBorder="1"/>
    <xf numFmtId="1" fontId="44" fillId="39" borderId="16" xfId="217" applyNumberFormat="1" applyFill="1" applyBorder="1"/>
    <xf numFmtId="6" fontId="3" fillId="10" borderId="16" xfId="0" applyNumberFormat="1" applyFont="1" applyFill="1" applyBorder="1" applyAlignment="1">
      <alignment vertical="center" wrapText="1"/>
    </xf>
    <xf numFmtId="6" fontId="67" fillId="39" borderId="16" xfId="0" applyNumberFormat="1" applyFont="1" applyFill="1" applyBorder="1" applyAlignment="1">
      <alignment vertical="center" wrapText="1"/>
    </xf>
    <xf numFmtId="0" fontId="121" fillId="39" borderId="16" xfId="0" applyFont="1" applyFill="1" applyBorder="1" applyAlignment="1">
      <alignment vertical="center" wrapText="1"/>
    </xf>
    <xf numFmtId="0" fontId="122" fillId="39" borderId="16" xfId="0" applyFont="1" applyFill="1" applyBorder="1" applyAlignment="1">
      <alignment vertical="center" wrapText="1"/>
    </xf>
    <xf numFmtId="188" fontId="67" fillId="39" borderId="16" xfId="0" applyNumberFormat="1" applyFont="1" applyFill="1" applyBorder="1" applyAlignment="1">
      <alignment vertical="center" wrapText="1"/>
    </xf>
    <xf numFmtId="0" fontId="121" fillId="39" borderId="12" xfId="0" applyFont="1" applyFill="1" applyBorder="1" applyAlignment="1">
      <alignment vertical="center" wrapText="1"/>
    </xf>
    <xf numFmtId="0" fontId="121" fillId="39" borderId="37" xfId="0" applyFont="1" applyFill="1" applyBorder="1" applyAlignment="1">
      <alignment vertical="center" wrapText="1"/>
    </xf>
    <xf numFmtId="0" fontId="121" fillId="39" borderId="26" xfId="0" applyFont="1" applyFill="1" applyBorder="1" applyAlignment="1">
      <alignment vertical="center" wrapText="1"/>
    </xf>
    <xf numFmtId="6" fontId="3" fillId="39" borderId="16" xfId="217" applyNumberFormat="1" applyFont="1" applyFill="1" applyBorder="1" applyAlignment="1">
      <alignment vertical="center" wrapText="1"/>
    </xf>
    <xf numFmtId="10" fontId="3" fillId="39" borderId="16" xfId="212" applyNumberFormat="1" applyFont="1" applyFill="1" applyBorder="1" applyAlignment="1">
      <alignment vertical="center" wrapText="1"/>
    </xf>
    <xf numFmtId="6" fontId="3" fillId="10" borderId="16" xfId="217" applyNumberFormat="1" applyFont="1" applyFill="1" applyBorder="1" applyAlignment="1">
      <alignment vertical="center" wrapText="1"/>
    </xf>
    <xf numFmtId="0" fontId="34" fillId="10" borderId="0" xfId="0" applyFont="1" applyFill="1"/>
    <xf numFmtId="14" fontId="1" fillId="10" borderId="0" xfId="217" applyNumberFormat="1" applyFont="1" applyFill="1"/>
    <xf numFmtId="182" fontId="1" fillId="10" borderId="16" xfId="217" applyNumberFormat="1" applyFont="1" applyFill="1" applyBorder="1" applyAlignment="1">
      <alignment horizontal="right"/>
    </xf>
    <xf numFmtId="10" fontId="1" fillId="10" borderId="16" xfId="217" applyNumberFormat="1" applyFont="1" applyFill="1" applyBorder="1"/>
    <xf numFmtId="1" fontId="1" fillId="10" borderId="16" xfId="217" applyNumberFormat="1" applyFont="1" applyFill="1" applyBorder="1"/>
    <xf numFmtId="170" fontId="1" fillId="10" borderId="16" xfId="217" applyNumberFormat="1" applyFont="1" applyFill="1" applyBorder="1"/>
    <xf numFmtId="190" fontId="1" fillId="10" borderId="16" xfId="217" applyNumberFormat="1" applyFont="1" applyFill="1" applyBorder="1"/>
    <xf numFmtId="6" fontId="1" fillId="10" borderId="16" xfId="217" applyNumberFormat="1" applyFont="1" applyFill="1" applyBorder="1" applyAlignment="1">
      <alignment vertical="center" wrapText="1"/>
    </xf>
    <xf numFmtId="0" fontId="142" fillId="17" borderId="0" xfId="0" applyFont="1" applyFill="1" applyAlignment="1" applyProtection="1">
      <alignment vertical="center" wrapText="1"/>
      <protection hidden="1"/>
    </xf>
    <xf numFmtId="0" fontId="40" fillId="0" borderId="0" xfId="0" applyFont="1" applyAlignment="1">
      <alignment horizontal="center"/>
    </xf>
    <xf numFmtId="1" fontId="0" fillId="8" borderId="0" xfId="0" applyNumberFormat="1" applyFill="1"/>
    <xf numFmtId="181" fontId="0" fillId="0" borderId="0" xfId="209" applyNumberFormat="1" applyFont="1"/>
    <xf numFmtId="181" fontId="0" fillId="11" borderId="16" xfId="209" applyNumberFormat="1" applyFont="1" applyFill="1" applyBorder="1"/>
    <xf numFmtId="0" fontId="0" fillId="0" borderId="0" xfId="0" applyFont="1" applyFill="1" applyAlignment="1" applyProtection="1">
      <alignment horizontal="right"/>
      <protection hidden="1"/>
    </xf>
    <xf numFmtId="0" fontId="57" fillId="17" borderId="16" xfId="0" applyFont="1" applyFill="1" applyBorder="1"/>
    <xf numFmtId="8" fontId="57" fillId="17" borderId="16" xfId="0" applyNumberFormat="1" applyFont="1" applyFill="1" applyBorder="1" applyAlignment="1">
      <alignment horizontal="center"/>
    </xf>
    <xf numFmtId="0" fontId="48" fillId="17" borderId="16" xfId="0" applyFont="1" applyFill="1" applyBorder="1"/>
    <xf numFmtId="168" fontId="57" fillId="17" borderId="16" xfId="208" applyNumberFormat="1" applyFont="1" applyFill="1" applyBorder="1" applyAlignment="1">
      <alignment horizontal="center"/>
    </xf>
    <xf numFmtId="168" fontId="0" fillId="0" borderId="16" xfId="0" applyNumberFormat="1" applyBorder="1"/>
    <xf numFmtId="168" fontId="0" fillId="0" borderId="16" xfId="208" applyNumberFormat="1" applyFont="1" applyBorder="1" applyAlignment="1">
      <alignment horizontal="center"/>
    </xf>
    <xf numFmtId="168" fontId="0" fillId="17" borderId="16" xfId="0" applyNumberFormat="1" applyFill="1" applyBorder="1" applyAlignment="1">
      <alignment horizontal="center"/>
    </xf>
    <xf numFmtId="0" fontId="100" fillId="17" borderId="16" xfId="0" applyFont="1" applyFill="1" applyBorder="1"/>
    <xf numFmtId="0" fontId="144" fillId="17" borderId="0" xfId="0" applyFont="1" applyFill="1" applyBorder="1" applyProtection="1">
      <protection hidden="1"/>
    </xf>
    <xf numFmtId="0" fontId="0" fillId="17" borderId="0" xfId="0" applyFill="1" applyProtection="1">
      <protection hidden="1"/>
    </xf>
    <xf numFmtId="0" fontId="0" fillId="37" borderId="88" xfId="0" applyFill="1" applyBorder="1" applyProtection="1">
      <protection hidden="1"/>
    </xf>
    <xf numFmtId="0" fontId="0" fillId="17" borderId="0" xfId="0" applyFill="1" applyBorder="1" applyProtection="1">
      <protection hidden="1"/>
    </xf>
    <xf numFmtId="0" fontId="0" fillId="37" borderId="58" xfId="0" applyFill="1" applyBorder="1" applyProtection="1">
      <protection hidden="1"/>
    </xf>
    <xf numFmtId="0" fontId="0" fillId="3" borderId="0" xfId="0" applyFill="1" applyProtection="1">
      <protection hidden="1"/>
    </xf>
    <xf numFmtId="0" fontId="145" fillId="3" borderId="22" xfId="0" applyFont="1" applyFill="1" applyBorder="1" applyAlignment="1" applyProtection="1">
      <alignment horizontal="left"/>
      <protection hidden="1"/>
    </xf>
    <xf numFmtId="0" fontId="85" fillId="3" borderId="22" xfId="0" applyFont="1" applyFill="1" applyBorder="1" applyProtection="1">
      <protection hidden="1"/>
    </xf>
    <xf numFmtId="0" fontId="0" fillId="3" borderId="22" xfId="0" applyFill="1" applyBorder="1" applyProtection="1">
      <protection hidden="1"/>
    </xf>
    <xf numFmtId="0" fontId="0" fillId="17" borderId="0" xfId="0" applyFill="1" applyAlignment="1" applyProtection="1">
      <alignment vertical="center"/>
      <protection hidden="1"/>
    </xf>
    <xf numFmtId="0" fontId="0" fillId="3" borderId="0" xfId="0" applyFill="1" applyAlignment="1" applyProtection="1">
      <alignment vertical="center"/>
      <protection hidden="1"/>
    </xf>
    <xf numFmtId="0" fontId="74" fillId="3" borderId="58" xfId="0" applyFont="1" applyFill="1" applyBorder="1" applyAlignment="1" applyProtection="1">
      <alignment horizontal="left" vertical="center"/>
      <protection hidden="1"/>
    </xf>
    <xf numFmtId="0" fontId="74" fillId="3" borderId="58" xfId="0" applyFont="1" applyFill="1" applyBorder="1" applyAlignment="1" applyProtection="1">
      <alignment vertical="center"/>
      <protection hidden="1"/>
    </xf>
    <xf numFmtId="0" fontId="74" fillId="3" borderId="86" xfId="0" applyFont="1" applyFill="1" applyBorder="1" applyAlignment="1" applyProtection="1">
      <alignment horizontal="left" vertical="center"/>
      <protection hidden="1"/>
    </xf>
    <xf numFmtId="0" fontId="74" fillId="3" borderId="86" xfId="0" applyFont="1" applyFill="1" applyBorder="1" applyAlignment="1" applyProtection="1">
      <alignment vertical="center"/>
      <protection hidden="1"/>
    </xf>
    <xf numFmtId="0" fontId="74" fillId="3" borderId="0" xfId="0" applyFont="1" applyFill="1" applyBorder="1" applyAlignment="1" applyProtection="1">
      <alignment horizontal="left" vertical="center"/>
      <protection hidden="1"/>
    </xf>
    <xf numFmtId="0" fontId="74" fillId="3" borderId="0" xfId="0" applyFont="1" applyFill="1" applyAlignment="1" applyProtection="1">
      <alignment vertical="center"/>
      <protection hidden="1"/>
    </xf>
    <xf numFmtId="0" fontId="0" fillId="17" borderId="0" xfId="0" applyFill="1" applyAlignment="1" applyProtection="1">
      <alignment horizontal="center" vertical="center"/>
      <protection hidden="1"/>
    </xf>
    <xf numFmtId="0" fontId="0" fillId="17" borderId="0" xfId="0" applyFill="1" applyBorder="1" applyAlignment="1" applyProtection="1">
      <alignment vertical="center"/>
      <protection hidden="1"/>
    </xf>
    <xf numFmtId="0" fontId="117" fillId="3" borderId="0" xfId="0" applyFont="1" applyFill="1" applyAlignment="1" applyProtection="1">
      <alignment vertical="center"/>
      <protection hidden="1"/>
    </xf>
    <xf numFmtId="0" fontId="117" fillId="3" borderId="0" xfId="0" applyFont="1" applyFill="1" applyAlignment="1" applyProtection="1">
      <alignment horizontal="center" vertical="center"/>
      <protection hidden="1"/>
    </xf>
    <xf numFmtId="0" fontId="85" fillId="17" borderId="0" xfId="0" applyFont="1" applyFill="1" applyBorder="1" applyAlignment="1" applyProtection="1">
      <alignment horizontal="center" vertical="center"/>
      <protection hidden="1"/>
    </xf>
    <xf numFmtId="0" fontId="145" fillId="3" borderId="22" xfId="0" applyFont="1" applyFill="1" applyBorder="1" applyAlignment="1" applyProtection="1">
      <alignment horizontal="left" vertical="center"/>
      <protection hidden="1"/>
    </xf>
    <xf numFmtId="0" fontId="117" fillId="3" borderId="22" xfId="0" applyFont="1" applyFill="1" applyBorder="1" applyAlignment="1" applyProtection="1">
      <alignment vertical="center"/>
      <protection hidden="1"/>
    </xf>
    <xf numFmtId="0" fontId="0" fillId="17" borderId="95" xfId="0" applyFill="1" applyBorder="1" applyAlignment="1" applyProtection="1">
      <alignment vertical="center"/>
      <protection hidden="1"/>
    </xf>
    <xf numFmtId="0" fontId="0" fillId="17" borderId="96" xfId="0" applyFill="1" applyBorder="1" applyAlignment="1" applyProtection="1">
      <alignment vertical="center"/>
      <protection hidden="1"/>
    </xf>
    <xf numFmtId="0" fontId="0" fillId="17" borderId="97" xfId="0" applyFill="1" applyBorder="1" applyAlignment="1" applyProtection="1">
      <alignment vertical="center"/>
      <protection hidden="1"/>
    </xf>
    <xf numFmtId="0" fontId="147" fillId="17" borderId="0" xfId="0" applyFont="1" applyFill="1" applyAlignment="1" applyProtection="1">
      <alignment vertical="center"/>
      <protection hidden="1"/>
    </xf>
    <xf numFmtId="0" fontId="0" fillId="17" borderId="98" xfId="0" applyFill="1" applyBorder="1" applyAlignment="1" applyProtection="1">
      <alignment vertical="center"/>
      <protection hidden="1"/>
    </xf>
    <xf numFmtId="0" fontId="117" fillId="17" borderId="24" xfId="0" applyFont="1" applyFill="1" applyBorder="1" applyAlignment="1" applyProtection="1">
      <alignment vertical="center"/>
      <protection hidden="1"/>
    </xf>
    <xf numFmtId="0" fontId="85" fillId="17" borderId="24" xfId="0" applyFont="1" applyFill="1" applyBorder="1" applyAlignment="1" applyProtection="1">
      <alignment vertical="center"/>
      <protection hidden="1"/>
    </xf>
    <xf numFmtId="0" fontId="0" fillId="17" borderId="99" xfId="0" applyFill="1" applyBorder="1" applyAlignment="1" applyProtection="1">
      <alignment vertical="center"/>
      <protection hidden="1"/>
    </xf>
    <xf numFmtId="0" fontId="117" fillId="17" borderId="25" xfId="0" applyFont="1" applyFill="1" applyBorder="1" applyAlignment="1" applyProtection="1">
      <alignment vertical="center"/>
      <protection hidden="1"/>
    </xf>
    <xf numFmtId="0" fontId="85" fillId="17" borderId="25" xfId="0" applyFont="1" applyFill="1" applyBorder="1" applyAlignment="1" applyProtection="1">
      <alignment vertical="center"/>
      <protection hidden="1"/>
    </xf>
    <xf numFmtId="0" fontId="145" fillId="17" borderId="0" xfId="0" applyFont="1" applyFill="1" applyBorder="1" applyAlignment="1" applyProtection="1">
      <alignment vertical="center"/>
      <protection hidden="1"/>
    </xf>
    <xf numFmtId="0" fontId="0" fillId="17" borderId="100" xfId="0" applyFill="1" applyBorder="1" applyAlignment="1" applyProtection="1">
      <alignment vertical="center"/>
      <protection hidden="1"/>
    </xf>
    <xf numFmtId="0" fontId="0" fillId="17" borderId="101" xfId="0" applyFill="1" applyBorder="1" applyAlignment="1" applyProtection="1">
      <alignment vertical="center"/>
      <protection hidden="1"/>
    </xf>
    <xf numFmtId="0" fontId="0" fillId="17" borderId="102" xfId="0" applyFill="1" applyBorder="1" applyAlignment="1" applyProtection="1">
      <alignment vertical="center"/>
      <protection hidden="1"/>
    </xf>
    <xf numFmtId="0" fontId="85" fillId="3" borderId="0" xfId="0" applyFont="1" applyFill="1" applyBorder="1" applyAlignment="1" applyProtection="1">
      <alignment horizontal="left" vertical="center"/>
      <protection hidden="1"/>
    </xf>
    <xf numFmtId="0" fontId="85" fillId="3" borderId="0" xfId="0" applyFont="1" applyFill="1" applyAlignment="1" applyProtection="1">
      <alignment vertical="center"/>
      <protection hidden="1"/>
    </xf>
    <xf numFmtId="0" fontId="0" fillId="3" borderId="0" xfId="0" applyFill="1" applyBorder="1" applyAlignment="1" applyProtection="1">
      <alignment vertical="center"/>
      <protection hidden="1"/>
    </xf>
    <xf numFmtId="0" fontId="0" fillId="37" borderId="0" xfId="0" applyFill="1" applyProtection="1">
      <protection hidden="1"/>
    </xf>
    <xf numFmtId="0" fontId="127" fillId="37" borderId="0" xfId="0" applyFont="1" applyFill="1" applyAlignment="1" applyProtection="1">
      <alignment vertical="center"/>
      <protection hidden="1"/>
    </xf>
    <xf numFmtId="0" fontId="117" fillId="17" borderId="0" xfId="0" applyFont="1" applyFill="1" applyAlignment="1" applyProtection="1">
      <alignment vertical="center" wrapText="1"/>
      <protection hidden="1"/>
    </xf>
    <xf numFmtId="0" fontId="3" fillId="17" borderId="0" xfId="0" applyFont="1" applyFill="1" applyAlignment="1">
      <alignment vertical="center"/>
    </xf>
    <xf numFmtId="0" fontId="43" fillId="18" borderId="0" xfId="208" applyNumberFormat="1" applyFont="1" applyFill="1" applyBorder="1" applyAlignment="1">
      <alignment horizontal="center"/>
    </xf>
    <xf numFmtId="7" fontId="43" fillId="18" borderId="0" xfId="208" applyNumberFormat="1" applyFont="1" applyFill="1" applyBorder="1" applyAlignment="1">
      <alignment horizontal="center"/>
    </xf>
    <xf numFmtId="171" fontId="0" fillId="18" borderId="0" xfId="208" applyNumberFormat="1" applyFont="1" applyFill="1" applyAlignment="1">
      <alignment horizontal="center"/>
    </xf>
    <xf numFmtId="9" fontId="0" fillId="18" borderId="0" xfId="212" applyFont="1" applyFill="1" applyBorder="1" applyAlignment="1">
      <alignment horizontal="center"/>
    </xf>
    <xf numFmtId="1" fontId="0" fillId="18" borderId="0" xfId="209" applyNumberFormat="1" applyFont="1" applyFill="1" applyBorder="1" applyAlignment="1">
      <alignment horizontal="center"/>
    </xf>
    <xf numFmtId="9" fontId="0" fillId="18" borderId="0" xfId="208" applyNumberFormat="1" applyFont="1" applyFill="1" applyAlignment="1">
      <alignment horizontal="center"/>
    </xf>
    <xf numFmtId="10" fontId="0" fillId="18" borderId="0" xfId="212" applyNumberFormat="1" applyFont="1" applyFill="1" applyAlignment="1">
      <alignment horizontal="center"/>
    </xf>
    <xf numFmtId="168" fontId="0" fillId="18" borderId="0" xfId="208" applyNumberFormat="1" applyFont="1" applyFill="1" applyAlignment="1">
      <alignment horizontal="center"/>
    </xf>
    <xf numFmtId="185" fontId="0" fillId="17" borderId="16" xfId="0" applyNumberFormat="1" applyFont="1" applyFill="1" applyBorder="1"/>
    <xf numFmtId="171" fontId="43" fillId="30" borderId="66" xfId="0" applyNumberFormat="1" applyFont="1" applyFill="1" applyBorder="1" applyAlignment="1" applyProtection="1">
      <alignment horizontal="center" vertical="center" shrinkToFit="1"/>
      <protection hidden="1"/>
    </xf>
    <xf numFmtId="171" fontId="43" fillId="30" borderId="83" xfId="0" applyNumberFormat="1" applyFont="1" applyFill="1" applyBorder="1" applyAlignment="1" applyProtection="1">
      <alignment horizontal="center" vertical="center" shrinkToFit="1"/>
      <protection hidden="1"/>
    </xf>
    <xf numFmtId="0" fontId="135" fillId="32" borderId="64" xfId="0" applyFont="1" applyFill="1" applyBorder="1" applyAlignment="1" applyProtection="1">
      <alignment horizontal="center" vertical="center"/>
      <protection hidden="1"/>
    </xf>
    <xf numFmtId="171" fontId="0" fillId="2" borderId="66" xfId="0" applyNumberFormat="1" applyFont="1" applyFill="1" applyBorder="1" applyAlignment="1" applyProtection="1">
      <alignment horizontal="center" vertical="center" shrinkToFit="1"/>
      <protection hidden="1"/>
    </xf>
    <xf numFmtId="171" fontId="0" fillId="2" borderId="83" xfId="0" applyNumberFormat="1" applyFont="1" applyFill="1" applyBorder="1" applyAlignment="1" applyProtection="1">
      <alignment horizontal="center" vertical="center" shrinkToFit="1"/>
      <protection hidden="1"/>
    </xf>
    <xf numFmtId="171" fontId="43" fillId="30" borderId="82" xfId="0" applyNumberFormat="1" applyFont="1" applyFill="1" applyBorder="1" applyAlignment="1" applyProtection="1">
      <alignment horizontal="center" vertical="center" shrinkToFit="1"/>
      <protection hidden="1"/>
    </xf>
    <xf numFmtId="171" fontId="43" fillId="30" borderId="84" xfId="0" applyNumberFormat="1" applyFont="1" applyFill="1" applyBorder="1" applyAlignment="1" applyProtection="1">
      <alignment horizontal="center" vertical="center" shrinkToFit="1"/>
      <protection hidden="1"/>
    </xf>
    <xf numFmtId="171" fontId="0" fillId="2" borderId="82" xfId="0" applyNumberFormat="1" applyFont="1" applyFill="1" applyBorder="1" applyAlignment="1" applyProtection="1">
      <alignment horizontal="center" vertical="center" shrinkToFit="1"/>
      <protection hidden="1"/>
    </xf>
    <xf numFmtId="171" fontId="0" fillId="2" borderId="84" xfId="0" applyNumberFormat="1" applyFont="1" applyFill="1" applyBorder="1" applyAlignment="1" applyProtection="1">
      <alignment horizontal="center" vertical="center" shrinkToFit="1"/>
      <protection hidden="1"/>
    </xf>
    <xf numFmtId="0" fontId="135" fillId="32" borderId="80" xfId="0" applyFont="1" applyFill="1" applyBorder="1" applyAlignment="1" applyProtection="1">
      <alignment horizontal="center" vertical="center"/>
      <protection hidden="1"/>
    </xf>
    <xf numFmtId="0" fontId="0" fillId="17" borderId="0" xfId="0" applyFont="1" applyFill="1" applyBorder="1" applyAlignment="1" applyProtection="1">
      <alignment horizontal="center" vertical="top" wrapText="1"/>
      <protection hidden="1"/>
    </xf>
    <xf numFmtId="171" fontId="88" fillId="17" borderId="81" xfId="0" applyNumberFormat="1" applyFont="1" applyFill="1" applyBorder="1" applyAlignment="1" applyProtection="1">
      <alignment horizontal="left" vertical="center"/>
      <protection hidden="1"/>
    </xf>
    <xf numFmtId="171" fontId="88" fillId="17" borderId="24" xfId="0" applyNumberFormat="1" applyFont="1" applyFill="1" applyBorder="1" applyAlignment="1" applyProtection="1">
      <alignment horizontal="left" vertical="center"/>
      <protection hidden="1"/>
    </xf>
    <xf numFmtId="0" fontId="127" fillId="32" borderId="75" xfId="0" applyFont="1" applyFill="1" applyBorder="1" applyAlignment="1" applyProtection="1">
      <alignment horizontal="center" vertical="top"/>
      <protection hidden="1"/>
    </xf>
    <xf numFmtId="0" fontId="127" fillId="32" borderId="0" xfId="0" applyFont="1" applyFill="1" applyBorder="1" applyAlignment="1" applyProtection="1">
      <alignment horizontal="center" vertical="top"/>
      <protection hidden="1"/>
    </xf>
    <xf numFmtId="0" fontId="127" fillId="32" borderId="49" xfId="0" applyFont="1" applyFill="1" applyBorder="1" applyAlignment="1" applyProtection="1">
      <alignment horizontal="center" vertical="top"/>
      <protection hidden="1"/>
    </xf>
    <xf numFmtId="0" fontId="89" fillId="17" borderId="81" xfId="0" applyFont="1" applyFill="1" applyBorder="1" applyAlignment="1" applyProtection="1">
      <alignment horizontal="left" vertical="center"/>
      <protection hidden="1"/>
    </xf>
    <xf numFmtId="0" fontId="89" fillId="17" borderId="0" xfId="0" applyFont="1" applyFill="1" applyBorder="1" applyAlignment="1" applyProtection="1">
      <alignment horizontal="left" vertical="center"/>
      <protection hidden="1"/>
    </xf>
    <xf numFmtId="171" fontId="89" fillId="17" borderId="81" xfId="0" applyNumberFormat="1" applyFont="1" applyFill="1" applyBorder="1" applyAlignment="1" applyProtection="1">
      <alignment horizontal="left" vertical="center"/>
      <protection hidden="1"/>
    </xf>
    <xf numFmtId="171" fontId="89" fillId="17" borderId="24" xfId="0" applyNumberFormat="1" applyFont="1" applyFill="1" applyBorder="1" applyAlignment="1" applyProtection="1">
      <alignment horizontal="left" vertical="center"/>
      <protection hidden="1"/>
    </xf>
    <xf numFmtId="0" fontId="89" fillId="17" borderId="24" xfId="0" applyFont="1" applyFill="1" applyBorder="1" applyAlignment="1" applyProtection="1">
      <alignment horizontal="left" vertical="center"/>
      <protection hidden="1"/>
    </xf>
    <xf numFmtId="171" fontId="88" fillId="17" borderId="0" xfId="0" applyNumberFormat="1" applyFont="1" applyFill="1" applyBorder="1" applyAlignment="1" applyProtection="1">
      <alignment horizontal="left" vertical="center"/>
      <protection hidden="1"/>
    </xf>
    <xf numFmtId="171" fontId="0" fillId="0" borderId="72" xfId="0" applyNumberFormat="1" applyFont="1" applyFill="1" applyBorder="1" applyAlignment="1" applyProtection="1">
      <alignment horizontal="center" vertical="center" shrinkToFit="1"/>
      <protection hidden="1"/>
    </xf>
    <xf numFmtId="171" fontId="0" fillId="0" borderId="66" xfId="0" applyNumberFormat="1" applyFont="1" applyFill="1" applyBorder="1" applyAlignment="1" applyProtection="1">
      <alignment horizontal="center" vertical="center" shrinkToFit="1"/>
      <protection hidden="1"/>
    </xf>
    <xf numFmtId="171" fontId="0" fillId="0" borderId="67" xfId="0" applyNumberFormat="1" applyFont="1" applyFill="1" applyBorder="1" applyAlignment="1" applyProtection="1">
      <alignment horizontal="center" vertical="center" shrinkToFit="1"/>
      <protection hidden="1"/>
    </xf>
    <xf numFmtId="174" fontId="34" fillId="11" borderId="66" xfId="212" applyNumberFormat="1" applyFont="1" applyFill="1" applyBorder="1" applyAlignment="1" applyProtection="1">
      <alignment horizontal="center" vertical="center" shrinkToFit="1"/>
      <protection hidden="1"/>
    </xf>
    <xf numFmtId="174" fontId="34" fillId="11" borderId="69" xfId="212" applyNumberFormat="1" applyFont="1" applyFill="1" applyBorder="1" applyAlignment="1" applyProtection="1">
      <alignment horizontal="center" vertical="center" shrinkToFit="1"/>
      <protection hidden="1"/>
    </xf>
    <xf numFmtId="171" fontId="0" fillId="11" borderId="66" xfId="0" applyNumberFormat="1" applyFont="1" applyFill="1" applyBorder="1" applyAlignment="1" applyProtection="1">
      <alignment horizontal="center" vertical="center" shrinkToFit="1"/>
      <protection hidden="1"/>
    </xf>
    <xf numFmtId="171" fontId="0" fillId="11" borderId="18" xfId="0" applyNumberFormat="1" applyFont="1" applyFill="1" applyBorder="1" applyAlignment="1" applyProtection="1">
      <alignment horizontal="center" vertical="center" shrinkToFit="1"/>
      <protection hidden="1"/>
    </xf>
    <xf numFmtId="171" fontId="0" fillId="0" borderId="71" xfId="0" applyNumberFormat="1" applyFont="1" applyFill="1" applyBorder="1" applyAlignment="1" applyProtection="1">
      <alignment horizontal="center" vertical="center" shrinkToFit="1"/>
      <protection hidden="1"/>
    </xf>
    <xf numFmtId="171" fontId="0" fillId="0" borderId="18" xfId="0" applyNumberFormat="1" applyFont="1" applyFill="1" applyBorder="1" applyAlignment="1" applyProtection="1">
      <alignment horizontal="center" vertical="center" shrinkToFit="1"/>
      <protection hidden="1"/>
    </xf>
    <xf numFmtId="171" fontId="0" fillId="0" borderId="65" xfId="0" applyNumberFormat="1" applyFont="1" applyFill="1" applyBorder="1" applyAlignment="1" applyProtection="1">
      <alignment horizontal="center" vertical="center" shrinkToFit="1"/>
      <protection hidden="1"/>
    </xf>
    <xf numFmtId="174" fontId="34" fillId="11" borderId="18" xfId="212" applyNumberFormat="1" applyFont="1" applyFill="1" applyBorder="1" applyAlignment="1" applyProtection="1">
      <alignment horizontal="center" vertical="center" shrinkToFit="1"/>
      <protection hidden="1"/>
    </xf>
    <xf numFmtId="174" fontId="34" fillId="11" borderId="68" xfId="212" applyNumberFormat="1" applyFont="1" applyFill="1" applyBorder="1" applyAlignment="1" applyProtection="1">
      <alignment horizontal="center" vertical="center" shrinkToFit="1"/>
      <protection hidden="1"/>
    </xf>
    <xf numFmtId="0" fontId="30" fillId="0" borderId="12" xfId="0" applyFont="1" applyFill="1" applyBorder="1" applyAlignment="1" applyProtection="1">
      <alignment horizontal="center" vertical="center"/>
      <protection hidden="1"/>
    </xf>
    <xf numFmtId="0" fontId="30" fillId="0" borderId="16" xfId="0" applyFont="1" applyFill="1" applyBorder="1" applyAlignment="1" applyProtection="1">
      <alignment horizontal="center" vertical="center"/>
      <protection hidden="1"/>
    </xf>
    <xf numFmtId="0" fontId="30" fillId="0" borderId="79" xfId="0" applyFont="1" applyFill="1" applyBorder="1" applyAlignment="1" applyProtection="1">
      <alignment horizontal="center" vertical="center"/>
      <protection hidden="1"/>
    </xf>
    <xf numFmtId="171" fontId="57" fillId="17" borderId="15" xfId="0" applyNumberFormat="1" applyFont="1" applyFill="1" applyBorder="1" applyAlignment="1" applyProtection="1">
      <alignment horizontal="center" vertical="center"/>
      <protection locked="0" hidden="1"/>
    </xf>
    <xf numFmtId="171" fontId="57" fillId="17" borderId="14" xfId="0" applyNumberFormat="1" applyFont="1" applyFill="1" applyBorder="1" applyAlignment="1" applyProtection="1">
      <alignment horizontal="center" vertical="center"/>
      <protection locked="0" hidden="1"/>
    </xf>
    <xf numFmtId="171" fontId="57" fillId="17" borderId="13" xfId="0" applyNumberFormat="1" applyFont="1" applyFill="1" applyBorder="1" applyAlignment="1" applyProtection="1">
      <alignment horizontal="center" vertical="center"/>
      <protection locked="0" hidden="1"/>
    </xf>
    <xf numFmtId="183" fontId="57" fillId="0" borderId="45" xfId="0" applyNumberFormat="1" applyFont="1" applyFill="1" applyBorder="1" applyAlignment="1" applyProtection="1">
      <alignment horizontal="center" vertical="center"/>
      <protection locked="0" hidden="1"/>
    </xf>
    <xf numFmtId="183" fontId="57" fillId="0" borderId="25" xfId="0" applyNumberFormat="1" applyFont="1" applyFill="1" applyBorder="1" applyAlignment="1" applyProtection="1">
      <alignment horizontal="center" vertical="center"/>
      <protection locked="0" hidden="1"/>
    </xf>
    <xf numFmtId="183" fontId="57" fillId="0" borderId="46" xfId="0" applyNumberFormat="1" applyFont="1" applyFill="1" applyBorder="1" applyAlignment="1" applyProtection="1">
      <alignment horizontal="center" vertical="center"/>
      <protection locked="0" hidden="1"/>
    </xf>
    <xf numFmtId="171" fontId="8" fillId="0" borderId="15" xfId="0" applyNumberFormat="1" applyFont="1" applyFill="1" applyBorder="1" applyAlignment="1" applyProtection="1">
      <alignment horizontal="center" vertical="center"/>
      <protection locked="0" hidden="1"/>
    </xf>
    <xf numFmtId="171" fontId="8" fillId="0" borderId="14" xfId="0" applyNumberFormat="1" applyFont="1" applyFill="1" applyBorder="1" applyAlignment="1" applyProtection="1">
      <alignment horizontal="center" vertical="center"/>
      <protection locked="0" hidden="1"/>
    </xf>
    <xf numFmtId="171" fontId="8" fillId="0" borderId="13" xfId="0" applyNumberFormat="1" applyFont="1" applyFill="1" applyBorder="1" applyAlignment="1" applyProtection="1">
      <alignment horizontal="center" vertical="center"/>
      <protection locked="0" hidden="1"/>
    </xf>
    <xf numFmtId="9" fontId="57" fillId="17" borderId="15" xfId="0" applyNumberFormat="1" applyFont="1" applyFill="1" applyBorder="1" applyAlignment="1" applyProtection="1">
      <alignment horizontal="center" vertical="center"/>
      <protection locked="0" hidden="1"/>
    </xf>
    <xf numFmtId="9" fontId="57" fillId="17" borderId="13" xfId="0" applyNumberFormat="1" applyFont="1" applyFill="1" applyBorder="1" applyAlignment="1" applyProtection="1">
      <alignment horizontal="center" vertical="center"/>
      <protection locked="0" hidden="1"/>
    </xf>
    <xf numFmtId="171" fontId="57" fillId="17" borderId="45" xfId="0" applyNumberFormat="1" applyFont="1" applyFill="1" applyBorder="1" applyAlignment="1" applyProtection="1">
      <alignment horizontal="center" vertical="center"/>
      <protection locked="0" hidden="1"/>
    </xf>
    <xf numFmtId="171" fontId="57" fillId="17" borderId="25" xfId="0" applyNumberFormat="1" applyFont="1" applyFill="1" applyBorder="1" applyAlignment="1" applyProtection="1">
      <alignment horizontal="center" vertical="center"/>
      <protection locked="0" hidden="1"/>
    </xf>
    <xf numFmtId="171" fontId="57" fillId="17" borderId="46" xfId="0" applyNumberFormat="1" applyFont="1" applyFill="1" applyBorder="1" applyAlignment="1" applyProtection="1">
      <alignment horizontal="center" vertical="center"/>
      <protection locked="0" hidden="1"/>
    </xf>
    <xf numFmtId="0" fontId="88" fillId="17" borderId="0" xfId="0" applyFont="1" applyFill="1" applyBorder="1" applyAlignment="1" applyProtection="1">
      <alignment horizontal="left" vertical="center"/>
      <protection hidden="1"/>
    </xf>
    <xf numFmtId="171" fontId="89" fillId="17" borderId="0" xfId="0" applyNumberFormat="1" applyFont="1" applyFill="1" applyBorder="1" applyAlignment="1" applyProtection="1">
      <alignment horizontal="right" vertical="top"/>
      <protection hidden="1"/>
    </xf>
    <xf numFmtId="0" fontId="88" fillId="17" borderId="0" xfId="0" applyFont="1" applyFill="1" applyBorder="1" applyAlignment="1" applyProtection="1">
      <alignment horizontal="left" vertical="top"/>
      <protection hidden="1"/>
    </xf>
    <xf numFmtId="171" fontId="0" fillId="0" borderId="19" xfId="0" applyNumberFormat="1" applyFont="1" applyFill="1" applyBorder="1" applyAlignment="1" applyProtection="1">
      <alignment horizontal="center" vertical="center" shrinkToFit="1"/>
      <protection hidden="1"/>
    </xf>
    <xf numFmtId="174" fontId="34" fillId="11" borderId="0" xfId="212" applyNumberFormat="1" applyFont="1" applyFill="1" applyBorder="1" applyAlignment="1" applyProtection="1">
      <alignment horizontal="center" vertical="center" shrinkToFit="1"/>
      <protection hidden="1"/>
    </xf>
    <xf numFmtId="174" fontId="34" fillId="11" borderId="63" xfId="212" applyNumberFormat="1" applyFont="1" applyFill="1" applyBorder="1" applyAlignment="1" applyProtection="1">
      <alignment horizontal="center" vertical="center" shrinkToFit="1"/>
      <protection hidden="1"/>
    </xf>
    <xf numFmtId="171" fontId="0" fillId="11" borderId="0" xfId="0" applyNumberFormat="1" applyFont="1" applyFill="1" applyBorder="1" applyAlignment="1" applyProtection="1">
      <alignment horizontal="center" vertical="center" shrinkToFit="1"/>
      <protection hidden="1"/>
    </xf>
    <xf numFmtId="171" fontId="0" fillId="0" borderId="70" xfId="0" applyNumberFormat="1" applyFont="1" applyFill="1" applyBorder="1" applyAlignment="1" applyProtection="1">
      <alignment horizontal="center" vertical="center" shrinkToFit="1"/>
      <protection hidden="1"/>
    </xf>
    <xf numFmtId="171" fontId="0" fillId="0" borderId="0" xfId="0" applyNumberFormat="1" applyFont="1" applyFill="1" applyBorder="1" applyAlignment="1" applyProtection="1">
      <alignment horizontal="center" vertical="center" shrinkToFit="1"/>
      <protection hidden="1"/>
    </xf>
    <xf numFmtId="171" fontId="0" fillId="0" borderId="24" xfId="0" applyNumberFormat="1" applyFont="1" applyFill="1" applyBorder="1" applyAlignment="1" applyProtection="1">
      <alignment horizontal="center" vertical="center" shrinkToFit="1"/>
      <protection hidden="1"/>
    </xf>
    <xf numFmtId="174" fontId="0" fillId="0" borderId="18" xfId="0" applyNumberFormat="1" applyFont="1" applyFill="1" applyBorder="1" applyAlignment="1" applyProtection="1">
      <alignment horizontal="center" vertical="center" shrinkToFit="1"/>
      <protection hidden="1"/>
    </xf>
    <xf numFmtId="174" fontId="0" fillId="0" borderId="78" xfId="0" applyNumberFormat="1" applyFont="1" applyFill="1" applyBorder="1" applyAlignment="1" applyProtection="1">
      <alignment horizontal="center" vertical="center" shrinkToFit="1"/>
      <protection hidden="1"/>
    </xf>
    <xf numFmtId="0" fontId="30" fillId="11" borderId="0" xfId="0" applyFont="1" applyFill="1" applyBorder="1" applyAlignment="1" applyProtection="1">
      <alignment horizontal="center" vertical="center"/>
      <protection hidden="1"/>
    </xf>
    <xf numFmtId="0" fontId="30" fillId="11" borderId="18" xfId="0" applyFont="1" applyFill="1" applyBorder="1" applyAlignment="1" applyProtection="1">
      <alignment horizontal="center" vertical="center"/>
      <protection hidden="1"/>
    </xf>
    <xf numFmtId="0" fontId="30" fillId="11" borderId="77" xfId="0" applyFont="1" applyFill="1" applyBorder="1" applyAlignment="1" applyProtection="1">
      <alignment horizontal="center" vertical="center"/>
      <protection hidden="1"/>
    </xf>
    <xf numFmtId="0" fontId="30" fillId="11" borderId="78" xfId="0" applyFont="1" applyFill="1" applyBorder="1" applyAlignment="1" applyProtection="1">
      <alignment horizontal="center" vertical="center"/>
      <protection hidden="1"/>
    </xf>
    <xf numFmtId="0" fontId="132" fillId="3" borderId="0" xfId="0" applyFont="1" applyFill="1" applyBorder="1" applyAlignment="1" applyProtection="1">
      <alignment horizontal="left" indent="2"/>
      <protection hidden="1"/>
    </xf>
    <xf numFmtId="0" fontId="140" fillId="17" borderId="0" xfId="0" applyFont="1" applyFill="1" applyBorder="1" applyAlignment="1" applyProtection="1">
      <alignment horizontal="left" vertical="center"/>
      <protection hidden="1"/>
    </xf>
    <xf numFmtId="0" fontId="89" fillId="17" borderId="0" xfId="0" applyFont="1" applyFill="1" applyBorder="1" applyAlignment="1" applyProtection="1">
      <alignment horizontal="center" vertical="top" wrapText="1"/>
      <protection hidden="1"/>
    </xf>
    <xf numFmtId="0" fontId="88" fillId="17" borderId="0" xfId="0" quotePrefix="1" applyFont="1" applyFill="1" applyBorder="1" applyAlignment="1" applyProtection="1">
      <alignment horizontal="left" vertical="center"/>
      <protection hidden="1"/>
    </xf>
    <xf numFmtId="0" fontId="80" fillId="37" borderId="15" xfId="0" applyFont="1" applyFill="1" applyBorder="1" applyAlignment="1" applyProtection="1">
      <alignment horizontal="right" vertical="center"/>
      <protection hidden="1"/>
    </xf>
    <xf numFmtId="0" fontId="80" fillId="37" borderId="14" xfId="0" applyFont="1" applyFill="1" applyBorder="1" applyAlignment="1" applyProtection="1">
      <alignment horizontal="right" vertical="center"/>
      <protection hidden="1"/>
    </xf>
    <xf numFmtId="0" fontId="80" fillId="37" borderId="13" xfId="0" applyFont="1" applyFill="1" applyBorder="1" applyAlignment="1" applyProtection="1">
      <alignment horizontal="right" vertical="center"/>
      <protection hidden="1"/>
    </xf>
    <xf numFmtId="0" fontId="130" fillId="3" borderId="2" xfId="0" applyFont="1" applyFill="1" applyBorder="1" applyAlignment="1" applyProtection="1">
      <alignment horizontal="center" vertical="center"/>
      <protection hidden="1"/>
    </xf>
    <xf numFmtId="0" fontId="130" fillId="3" borderId="0" xfId="0" applyFont="1" applyFill="1" applyBorder="1" applyAlignment="1" applyProtection="1">
      <alignment horizontal="center" vertical="center"/>
      <protection hidden="1"/>
    </xf>
    <xf numFmtId="0" fontId="130" fillId="3" borderId="17" xfId="0" applyFont="1" applyFill="1" applyBorder="1" applyAlignment="1" applyProtection="1">
      <alignment horizontal="center" vertical="center"/>
      <protection hidden="1"/>
    </xf>
    <xf numFmtId="0" fontId="74" fillId="0" borderId="15" xfId="0" applyFont="1" applyFill="1" applyBorder="1" applyAlignment="1" applyProtection="1">
      <alignment horizontal="center" vertical="center"/>
      <protection locked="0" hidden="1"/>
    </xf>
    <xf numFmtId="0" fontId="74" fillId="0" borderId="14" xfId="0" applyFont="1" applyFill="1" applyBorder="1" applyAlignment="1" applyProtection="1">
      <alignment horizontal="center" vertical="center"/>
      <protection locked="0" hidden="1"/>
    </xf>
    <xf numFmtId="0" fontId="74" fillId="0" borderId="13" xfId="0" applyFont="1" applyFill="1" applyBorder="1" applyAlignment="1" applyProtection="1">
      <alignment horizontal="center" vertical="center"/>
      <protection locked="0" hidden="1"/>
    </xf>
    <xf numFmtId="0" fontId="74" fillId="17" borderId="0" xfId="0" applyFont="1" applyFill="1" applyBorder="1" applyAlignment="1" applyProtection="1">
      <alignment horizontal="left" wrapText="1"/>
      <protection hidden="1"/>
    </xf>
    <xf numFmtId="0" fontId="74" fillId="17" borderId="0" xfId="0" applyFont="1" applyFill="1" applyBorder="1" applyAlignment="1" applyProtection="1">
      <alignment horizontal="right" vertical="center" wrapText="1" indent="3"/>
      <protection hidden="1"/>
    </xf>
    <xf numFmtId="171" fontId="30" fillId="2" borderId="0" xfId="0" applyNumberFormat="1" applyFont="1" applyFill="1" applyBorder="1" applyAlignment="1" applyProtection="1">
      <alignment horizontal="center" vertical="center" wrapText="1"/>
      <protection hidden="1"/>
    </xf>
    <xf numFmtId="171" fontId="30" fillId="2" borderId="18" xfId="0" applyNumberFormat="1" applyFont="1" applyFill="1" applyBorder="1" applyAlignment="1" applyProtection="1">
      <alignment horizontal="center" vertical="center" wrapText="1"/>
      <protection hidden="1"/>
    </xf>
    <xf numFmtId="171" fontId="30" fillId="2" borderId="3" xfId="0" applyNumberFormat="1" applyFont="1" applyFill="1" applyBorder="1" applyAlignment="1" applyProtection="1">
      <alignment horizontal="center" vertical="center" wrapText="1"/>
      <protection hidden="1"/>
    </xf>
    <xf numFmtId="171" fontId="30" fillId="2" borderId="59" xfId="0" applyNumberFormat="1" applyFont="1" applyFill="1" applyBorder="1" applyAlignment="1" applyProtection="1">
      <alignment horizontal="center" vertical="center" wrapText="1"/>
      <protection hidden="1"/>
    </xf>
    <xf numFmtId="171" fontId="42" fillId="30" borderId="0" xfId="0" applyNumberFormat="1" applyFont="1" applyFill="1" applyBorder="1" applyAlignment="1" applyProtection="1">
      <alignment horizontal="center" vertical="center"/>
      <protection hidden="1"/>
    </xf>
    <xf numFmtId="171" fontId="42" fillId="30" borderId="18" xfId="0" applyNumberFormat="1" applyFont="1" applyFill="1" applyBorder="1" applyAlignment="1" applyProtection="1">
      <alignment horizontal="center" vertical="center"/>
      <protection hidden="1"/>
    </xf>
    <xf numFmtId="171" fontId="42" fillId="30" borderId="3" xfId="0" applyNumberFormat="1" applyFont="1" applyFill="1" applyBorder="1" applyAlignment="1" applyProtection="1">
      <alignment horizontal="center" vertical="center"/>
      <protection hidden="1"/>
    </xf>
    <xf numFmtId="171" fontId="42" fillId="30" borderId="59" xfId="0" applyNumberFormat="1" applyFont="1" applyFill="1" applyBorder="1" applyAlignment="1" applyProtection="1">
      <alignment horizontal="center" vertical="center"/>
      <protection hidden="1"/>
    </xf>
    <xf numFmtId="0" fontId="100" fillId="11" borderId="0" xfId="0" applyFont="1" applyFill="1" applyBorder="1" applyAlignment="1" applyProtection="1">
      <alignment horizontal="left" vertical="top" wrapText="1"/>
      <protection hidden="1"/>
    </xf>
    <xf numFmtId="0" fontId="35" fillId="20" borderId="0" xfId="0" applyFont="1" applyFill="1" applyAlignment="1">
      <alignment horizontal="center" vertical="center" wrapText="1"/>
    </xf>
    <xf numFmtId="0" fontId="35" fillId="20" borderId="24" xfId="0" applyFont="1" applyFill="1" applyBorder="1" applyAlignment="1">
      <alignment horizontal="center" vertical="center" wrapText="1"/>
    </xf>
    <xf numFmtId="0" fontId="35" fillId="20" borderId="0" xfId="0" applyFont="1" applyFill="1" applyBorder="1" applyAlignment="1">
      <alignment horizontal="center" vertical="center" wrapText="1"/>
    </xf>
    <xf numFmtId="0" fontId="80" fillId="29" borderId="27" xfId="0" applyFont="1" applyFill="1" applyBorder="1" applyAlignment="1" applyProtection="1">
      <alignment horizontal="left" vertical="center" indent="1"/>
      <protection hidden="1"/>
    </xf>
    <xf numFmtId="0" fontId="80" fillId="29" borderId="29" xfId="0" applyFont="1" applyFill="1" applyBorder="1" applyAlignment="1" applyProtection="1">
      <alignment horizontal="left" vertical="center" indent="1"/>
      <protection hidden="1"/>
    </xf>
    <xf numFmtId="0" fontId="80" fillId="29" borderId="28" xfId="0" applyFont="1" applyFill="1" applyBorder="1" applyAlignment="1" applyProtection="1">
      <alignment horizontal="left" vertical="center" indent="1"/>
      <protection hidden="1"/>
    </xf>
    <xf numFmtId="0" fontId="30" fillId="11" borderId="85" xfId="0" applyFont="1" applyFill="1" applyBorder="1" applyAlignment="1" applyProtection="1">
      <alignment horizontal="right" wrapText="1" indent="1"/>
      <protection hidden="1"/>
    </xf>
    <xf numFmtId="0" fontId="30" fillId="11" borderId="0" xfId="0" applyFont="1" applyFill="1" applyBorder="1" applyAlignment="1" applyProtection="1">
      <alignment horizontal="right" wrapText="1" indent="1"/>
      <protection hidden="1"/>
    </xf>
    <xf numFmtId="0" fontId="11" fillId="17" borderId="27" xfId="0" applyFont="1" applyFill="1" applyBorder="1" applyAlignment="1" applyProtection="1">
      <alignment horizontal="center" vertical="center"/>
      <protection hidden="1"/>
    </xf>
    <xf numFmtId="0" fontId="11" fillId="17" borderId="28" xfId="0" applyFont="1" applyFill="1" applyBorder="1" applyAlignment="1" applyProtection="1">
      <alignment horizontal="center" vertical="center"/>
      <protection hidden="1"/>
    </xf>
    <xf numFmtId="0" fontId="30" fillId="11" borderId="0" xfId="0" applyFont="1" applyFill="1" applyAlignment="1" applyProtection="1">
      <alignment horizontal="left" vertical="top" wrapText="1"/>
      <protection hidden="1"/>
    </xf>
    <xf numFmtId="0" fontId="64" fillId="11" borderId="0" xfId="0" applyFont="1" applyFill="1" applyBorder="1" applyAlignment="1" applyProtection="1">
      <alignment horizontal="center" vertical="center" wrapText="1"/>
      <protection hidden="1"/>
    </xf>
    <xf numFmtId="0" fontId="64" fillId="11" borderId="0" xfId="0" applyFont="1" applyFill="1" applyAlignment="1" applyProtection="1">
      <alignment horizontal="center" wrapText="1"/>
      <protection hidden="1"/>
    </xf>
    <xf numFmtId="0" fontId="100" fillId="11" borderId="0" xfId="0" applyFont="1" applyFill="1" applyBorder="1" applyAlignment="1" applyProtection="1">
      <alignment horizontal="left" vertical="top" wrapText="1" indent="1"/>
      <protection hidden="1"/>
    </xf>
    <xf numFmtId="0" fontId="64" fillId="11" borderId="1" xfId="0" applyFont="1" applyFill="1" applyBorder="1" applyAlignment="1" applyProtection="1">
      <alignment horizontal="center"/>
      <protection hidden="1"/>
    </xf>
    <xf numFmtId="0" fontId="11" fillId="17" borderId="27" xfId="0" applyFont="1" applyFill="1" applyBorder="1" applyAlignment="1" applyProtection="1">
      <alignment horizontal="center" vertical="center" wrapText="1"/>
      <protection locked="0" hidden="1"/>
    </xf>
    <xf numFmtId="0" fontId="11" fillId="17" borderId="29" xfId="0" applyFont="1" applyFill="1" applyBorder="1" applyAlignment="1" applyProtection="1">
      <alignment horizontal="center" vertical="center" wrapText="1"/>
      <protection locked="0" hidden="1"/>
    </xf>
    <xf numFmtId="0" fontId="11" fillId="17" borderId="28" xfId="0" applyFont="1" applyFill="1" applyBorder="1" applyAlignment="1" applyProtection="1">
      <alignment horizontal="center" vertical="center" wrapText="1"/>
      <protection locked="0" hidden="1"/>
    </xf>
    <xf numFmtId="0" fontId="100" fillId="11" borderId="0" xfId="0" applyFont="1" applyFill="1" applyBorder="1" applyAlignment="1" applyProtection="1">
      <alignment horizontal="left" wrapText="1"/>
      <protection hidden="1"/>
    </xf>
    <xf numFmtId="0" fontId="92" fillId="0" borderId="0" xfId="0" applyFont="1" applyAlignment="1">
      <alignment horizontal="center" wrapText="1"/>
    </xf>
    <xf numFmtId="168" fontId="74" fillId="3" borderId="0" xfId="0" applyNumberFormat="1" applyFont="1" applyFill="1" applyBorder="1" applyAlignment="1" applyProtection="1">
      <alignment horizontal="center" vertical="center"/>
      <protection hidden="1"/>
    </xf>
    <xf numFmtId="168" fontId="74" fillId="3" borderId="88" xfId="0" applyNumberFormat="1" applyFont="1" applyFill="1" applyBorder="1" applyAlignment="1" applyProtection="1">
      <alignment horizontal="center" vertical="center"/>
      <protection hidden="1"/>
    </xf>
    <xf numFmtId="0" fontId="81" fillId="37" borderId="90" xfId="0" applyFont="1" applyFill="1" applyBorder="1" applyAlignment="1" applyProtection="1">
      <alignment horizontal="center" vertical="center"/>
      <protection hidden="1"/>
    </xf>
    <xf numFmtId="0" fontId="81" fillId="37" borderId="88" xfId="0" applyFont="1" applyFill="1" applyBorder="1" applyAlignment="1" applyProtection="1">
      <alignment horizontal="center" vertical="center"/>
      <protection hidden="1"/>
    </xf>
    <xf numFmtId="0" fontId="81" fillId="37" borderId="92" xfId="0" applyFont="1" applyFill="1" applyBorder="1" applyAlignment="1" applyProtection="1">
      <alignment horizontal="center" vertical="center"/>
      <protection hidden="1"/>
    </xf>
    <xf numFmtId="0" fontId="81" fillId="37" borderId="58" xfId="0" applyFont="1" applyFill="1" applyBorder="1" applyAlignment="1" applyProtection="1">
      <alignment horizontal="center" vertical="center"/>
      <protection hidden="1"/>
    </xf>
    <xf numFmtId="0" fontId="117" fillId="3" borderId="22" xfId="0" applyFont="1" applyFill="1" applyBorder="1" applyAlignment="1" applyProtection="1">
      <alignment horizontal="center" vertical="center"/>
      <protection hidden="1"/>
    </xf>
    <xf numFmtId="168" fontId="79" fillId="27" borderId="0" xfId="0" applyNumberFormat="1" applyFont="1" applyFill="1" applyAlignment="1" applyProtection="1">
      <alignment horizontal="center" vertical="center"/>
      <protection hidden="1"/>
    </xf>
    <xf numFmtId="0" fontId="79" fillId="27" borderId="0" xfId="0" applyFont="1" applyFill="1" applyAlignment="1" applyProtection="1">
      <alignment horizontal="center" vertical="center"/>
      <protection hidden="1"/>
    </xf>
    <xf numFmtId="168" fontId="85" fillId="17" borderId="94" xfId="0" applyNumberFormat="1" applyFont="1" applyFill="1" applyBorder="1" applyAlignment="1" applyProtection="1">
      <alignment horizontal="center" vertical="center"/>
      <protection locked="0" hidden="1"/>
    </xf>
    <xf numFmtId="168" fontId="127" fillId="37" borderId="0" xfId="0" applyNumberFormat="1" applyFont="1" applyFill="1" applyAlignment="1" applyProtection="1">
      <alignment horizontal="right" vertical="center" indent="3"/>
      <protection hidden="1"/>
    </xf>
    <xf numFmtId="0" fontId="127" fillId="37" borderId="0" xfId="0" applyFont="1" applyFill="1" applyAlignment="1" applyProtection="1">
      <alignment horizontal="right" vertical="center" indent="3"/>
      <protection hidden="1"/>
    </xf>
    <xf numFmtId="0" fontId="0" fillId="17" borderId="0" xfId="0" applyFill="1" applyAlignment="1" applyProtection="1">
      <alignment horizontal="left" vertical="top" wrapText="1"/>
      <protection hidden="1"/>
    </xf>
    <xf numFmtId="0" fontId="127" fillId="37" borderId="88" xfId="0" applyFont="1" applyFill="1" applyBorder="1" applyAlignment="1" applyProtection="1">
      <alignment horizontal="center" wrapText="1"/>
      <protection hidden="1"/>
    </xf>
    <xf numFmtId="0" fontId="127" fillId="37" borderId="91" xfId="0" applyFont="1" applyFill="1" applyBorder="1" applyAlignment="1" applyProtection="1">
      <alignment horizontal="center" wrapText="1"/>
      <protection hidden="1"/>
    </xf>
    <xf numFmtId="0" fontId="127" fillId="37" borderId="58" xfId="0" applyFont="1" applyFill="1" applyBorder="1" applyAlignment="1" applyProtection="1">
      <alignment horizontal="center" vertical="top" wrapText="1"/>
      <protection hidden="1"/>
    </xf>
    <xf numFmtId="0" fontId="127" fillId="37" borderId="93" xfId="0" applyFont="1" applyFill="1" applyBorder="1" applyAlignment="1" applyProtection="1">
      <alignment horizontal="center" vertical="top" wrapText="1"/>
      <protection hidden="1"/>
    </xf>
    <xf numFmtId="171" fontId="117" fillId="17" borderId="24" xfId="0" applyNumberFormat="1" applyFont="1" applyFill="1" applyBorder="1" applyAlignment="1" applyProtection="1">
      <alignment horizontal="right" vertical="center"/>
      <protection hidden="1"/>
    </xf>
    <xf numFmtId="0" fontId="85" fillId="17" borderId="94" xfId="0" applyFont="1" applyFill="1" applyBorder="1" applyAlignment="1" applyProtection="1">
      <alignment horizontal="center" vertical="center"/>
      <protection locked="0" hidden="1"/>
    </xf>
    <xf numFmtId="0" fontId="79" fillId="17" borderId="0" xfId="0" applyFont="1" applyFill="1" applyBorder="1" applyAlignment="1" applyProtection="1">
      <alignment horizontal="center" vertical="center"/>
      <protection hidden="1"/>
    </xf>
    <xf numFmtId="0" fontId="117" fillId="17" borderId="0" xfId="0" applyFont="1" applyFill="1" applyAlignment="1" applyProtection="1">
      <alignment horizontal="center" vertical="center" wrapText="1"/>
      <protection hidden="1"/>
    </xf>
    <xf numFmtId="171" fontId="117" fillId="17" borderId="25" xfId="0" applyNumberFormat="1" applyFont="1" applyFill="1" applyBorder="1" applyAlignment="1" applyProtection="1">
      <alignment horizontal="right" vertical="center"/>
      <protection hidden="1"/>
    </xf>
    <xf numFmtId="171" fontId="79" fillId="17" borderId="0" xfId="0" applyNumberFormat="1" applyFont="1" applyFill="1" applyBorder="1" applyAlignment="1" applyProtection="1">
      <alignment horizontal="right" vertical="center"/>
      <protection hidden="1"/>
    </xf>
    <xf numFmtId="0" fontId="147" fillId="17" borderId="0" xfId="0" applyFont="1" applyFill="1" applyBorder="1" applyAlignment="1" applyProtection="1">
      <alignment horizontal="left" vertical="center"/>
      <protection hidden="1"/>
    </xf>
    <xf numFmtId="0" fontId="147" fillId="17" borderId="101" xfId="0" applyFont="1" applyFill="1" applyBorder="1" applyAlignment="1" applyProtection="1">
      <alignment horizontal="left" vertical="center"/>
      <protection hidden="1"/>
    </xf>
    <xf numFmtId="0" fontId="127" fillId="27" borderId="0" xfId="0" applyFont="1" applyFill="1" applyBorder="1" applyAlignment="1" applyProtection="1">
      <alignment horizontal="center" vertical="center" wrapText="1"/>
      <protection hidden="1"/>
    </xf>
    <xf numFmtId="168" fontId="74" fillId="3" borderId="89" xfId="0" applyNumberFormat="1" applyFont="1" applyFill="1" applyBorder="1" applyAlignment="1" applyProtection="1">
      <alignment horizontal="center" vertical="center"/>
      <protection hidden="1"/>
    </xf>
    <xf numFmtId="168" fontId="74" fillId="3" borderId="86" xfId="0" applyNumberFormat="1" applyFont="1" applyFill="1" applyBorder="1" applyAlignment="1" applyProtection="1">
      <alignment horizontal="center" vertical="center"/>
      <protection hidden="1"/>
    </xf>
    <xf numFmtId="0" fontId="0" fillId="3" borderId="22" xfId="0" applyFill="1" applyBorder="1" applyAlignment="1" applyProtection="1">
      <alignment horizontal="center"/>
      <protection hidden="1"/>
    </xf>
    <xf numFmtId="168" fontId="74" fillId="3" borderId="87" xfId="0" applyNumberFormat="1" applyFont="1" applyFill="1" applyBorder="1" applyAlignment="1" applyProtection="1">
      <alignment horizontal="center" vertical="center"/>
      <protection hidden="1"/>
    </xf>
    <xf numFmtId="0" fontId="45" fillId="27" borderId="0" xfId="0" applyFont="1" applyFill="1" applyAlignment="1">
      <alignment horizontal="center"/>
    </xf>
    <xf numFmtId="0" fontId="0" fillId="11" borderId="16" xfId="0" applyFill="1" applyBorder="1" applyAlignment="1">
      <alignment horizontal="left" wrapText="1"/>
    </xf>
    <xf numFmtId="0" fontId="0" fillId="11" borderId="16" xfId="0" applyFill="1" applyBorder="1" applyAlignment="1">
      <alignment horizontal="center" wrapText="1"/>
    </xf>
    <xf numFmtId="0" fontId="0" fillId="13" borderId="11" xfId="0" applyFill="1" applyBorder="1" applyAlignment="1">
      <alignment horizontal="left" wrapText="1"/>
    </xf>
    <xf numFmtId="0" fontId="0" fillId="13" borderId="10" xfId="0" applyFill="1" applyBorder="1" applyAlignment="1">
      <alignment horizontal="left" wrapText="1"/>
    </xf>
    <xf numFmtId="0" fontId="0" fillId="13" borderId="12" xfId="0" applyFill="1" applyBorder="1" applyAlignment="1">
      <alignment horizontal="left" wrapText="1"/>
    </xf>
    <xf numFmtId="0" fontId="0" fillId="13" borderId="11" xfId="0" applyFill="1" applyBorder="1" applyAlignment="1">
      <alignment horizontal="center" wrapText="1"/>
    </xf>
    <xf numFmtId="0" fontId="0" fillId="13" borderId="10" xfId="0" applyFill="1" applyBorder="1" applyAlignment="1">
      <alignment horizontal="center" wrapText="1"/>
    </xf>
    <xf numFmtId="0" fontId="0" fillId="13" borderId="12" xfId="0" applyFill="1" applyBorder="1" applyAlignment="1">
      <alignment horizontal="center" wrapText="1"/>
    </xf>
    <xf numFmtId="0" fontId="0" fillId="13" borderId="16" xfId="0" applyFill="1" applyBorder="1" applyAlignment="1">
      <alignment horizontal="center" wrapText="1"/>
    </xf>
    <xf numFmtId="0" fontId="0" fillId="0" borderId="0" xfId="0" applyAlignment="1">
      <alignment horizontal="center" wrapText="1"/>
    </xf>
    <xf numFmtId="0" fontId="45" fillId="20" borderId="0" xfId="0" applyFont="1" applyFill="1" applyAlignment="1">
      <alignment horizontal="center"/>
    </xf>
    <xf numFmtId="0" fontId="74" fillId="17" borderId="0" xfId="0" applyFont="1" applyFill="1" applyBorder="1" applyAlignment="1" applyProtection="1">
      <alignment horizontal="left" wrapText="1"/>
    </xf>
    <xf numFmtId="171" fontId="69" fillId="17" borderId="52" xfId="0" applyNumberFormat="1" applyFont="1" applyFill="1" applyBorder="1" applyAlignment="1" applyProtection="1">
      <alignment vertical="center" shrinkToFit="1"/>
      <protection hidden="1"/>
    </xf>
    <xf numFmtId="171" fontId="69" fillId="17" borderId="50" xfId="0" applyNumberFormat="1" applyFont="1" applyFill="1" applyBorder="1" applyAlignment="1" applyProtection="1">
      <alignment vertical="center" shrinkToFit="1"/>
      <protection hidden="1"/>
    </xf>
    <xf numFmtId="0" fontId="48" fillId="11" borderId="0" xfId="0" applyFont="1" applyFill="1" applyBorder="1" applyAlignment="1" applyProtection="1">
      <alignment horizontal="right"/>
      <protection hidden="1"/>
    </xf>
    <xf numFmtId="0" fontId="47" fillId="11" borderId="0" xfId="0" applyFont="1" applyFill="1" applyAlignment="1" applyProtection="1">
      <alignment horizontal="left" vertical="center"/>
      <protection hidden="1"/>
    </xf>
    <xf numFmtId="0" fontId="49" fillId="20" borderId="0" xfId="0" applyFont="1" applyFill="1" applyAlignment="1" applyProtection="1">
      <alignment horizontal="left" vertical="center"/>
      <protection hidden="1"/>
    </xf>
    <xf numFmtId="0" fontId="49" fillId="20" borderId="18" xfId="0" applyFont="1" applyFill="1" applyBorder="1" applyAlignment="1" applyProtection="1">
      <alignment horizontal="left" vertical="center"/>
      <protection hidden="1"/>
    </xf>
    <xf numFmtId="0" fontId="107" fillId="17" borderId="0" xfId="0" applyFont="1" applyFill="1" applyAlignment="1" applyProtection="1">
      <alignment horizontal="left"/>
      <protection hidden="1"/>
    </xf>
    <xf numFmtId="0" fontId="107" fillId="17" borderId="50" xfId="0" applyFont="1" applyFill="1" applyBorder="1" applyAlignment="1" applyProtection="1">
      <alignment horizontal="left"/>
      <protection hidden="1"/>
    </xf>
    <xf numFmtId="171" fontId="108" fillId="17" borderId="52" xfId="0" applyNumberFormat="1" applyFont="1" applyFill="1" applyBorder="1" applyAlignment="1" applyProtection="1">
      <alignment horizontal="right" vertical="center"/>
      <protection hidden="1"/>
    </xf>
    <xf numFmtId="171" fontId="108" fillId="17" borderId="0" xfId="0" applyNumberFormat="1" applyFont="1" applyFill="1" applyBorder="1" applyAlignment="1" applyProtection="1">
      <alignment horizontal="right" vertical="center"/>
      <protection hidden="1"/>
    </xf>
    <xf numFmtId="171" fontId="108" fillId="17" borderId="50" xfId="0" applyNumberFormat="1" applyFont="1" applyFill="1" applyBorder="1" applyAlignment="1" applyProtection="1">
      <alignment horizontal="right" vertical="center"/>
      <protection hidden="1"/>
    </xf>
    <xf numFmtId="174" fontId="108" fillId="17" borderId="0" xfId="0" applyNumberFormat="1" applyFont="1" applyFill="1" applyBorder="1" applyAlignment="1" applyProtection="1">
      <alignment horizontal="right" vertical="center"/>
      <protection hidden="1"/>
    </xf>
    <xf numFmtId="174" fontId="108" fillId="17" borderId="50" xfId="0" applyNumberFormat="1" applyFont="1" applyFill="1" applyBorder="1" applyAlignment="1" applyProtection="1">
      <alignment horizontal="right" vertical="center"/>
      <protection hidden="1"/>
    </xf>
    <xf numFmtId="0" fontId="33" fillId="20" borderId="0" xfId="0" applyFont="1" applyFill="1" applyAlignment="1" applyProtection="1">
      <alignment horizontal="right"/>
      <protection hidden="1"/>
    </xf>
    <xf numFmtId="0" fontId="107" fillId="17" borderId="51" xfId="0" applyFont="1" applyFill="1" applyBorder="1" applyAlignment="1" applyProtection="1">
      <alignment horizontal="left"/>
      <protection hidden="1"/>
    </xf>
    <xf numFmtId="171" fontId="108" fillId="17" borderId="20" xfId="0" applyNumberFormat="1" applyFont="1" applyFill="1" applyBorder="1" applyAlignment="1" applyProtection="1">
      <alignment horizontal="right" vertical="center"/>
      <protection hidden="1"/>
    </xf>
    <xf numFmtId="0" fontId="58" fillId="17" borderId="15" xfId="0" applyFont="1" applyFill="1" applyBorder="1" applyAlignment="1" applyProtection="1">
      <alignment horizontal="left" vertical="center" indent="1"/>
      <protection locked="0" hidden="1"/>
    </xf>
    <xf numFmtId="0" fontId="58" fillId="17" borderId="14" xfId="0" applyFont="1" applyFill="1" applyBorder="1" applyAlignment="1" applyProtection="1">
      <alignment horizontal="left" vertical="center" indent="1"/>
      <protection locked="0" hidden="1"/>
    </xf>
    <xf numFmtId="0" fontId="58" fillId="17" borderId="13" xfId="0" applyFont="1" applyFill="1" applyBorder="1" applyAlignment="1" applyProtection="1">
      <alignment horizontal="left" vertical="center" indent="1"/>
      <protection locked="0" hidden="1"/>
    </xf>
    <xf numFmtId="171" fontId="103" fillId="17" borderId="0" xfId="0" applyNumberFormat="1" applyFont="1" applyFill="1" applyAlignment="1" applyProtection="1">
      <alignment horizontal="left"/>
      <protection hidden="1"/>
    </xf>
    <xf numFmtId="171" fontId="103" fillId="17" borderId="50" xfId="0" applyNumberFormat="1" applyFont="1" applyFill="1" applyBorder="1" applyAlignment="1" applyProtection="1">
      <alignment horizontal="left"/>
      <protection hidden="1"/>
    </xf>
    <xf numFmtId="0" fontId="107" fillId="17" borderId="0" xfId="0" applyFont="1" applyFill="1" applyBorder="1" applyAlignment="1" applyProtection="1">
      <alignment horizontal="left" vertical="top" wrapText="1"/>
      <protection hidden="1"/>
    </xf>
    <xf numFmtId="0" fontId="107" fillId="17" borderId="50" xfId="0" applyFont="1" applyFill="1" applyBorder="1" applyAlignment="1" applyProtection="1">
      <alignment horizontal="left" vertical="top" wrapText="1"/>
      <protection hidden="1"/>
    </xf>
    <xf numFmtId="171" fontId="103" fillId="17" borderId="51" xfId="0" applyNumberFormat="1" applyFont="1" applyFill="1" applyBorder="1" applyAlignment="1" applyProtection="1">
      <alignment horizontal="left"/>
      <protection hidden="1"/>
    </xf>
    <xf numFmtId="171" fontId="103" fillId="17" borderId="50" xfId="212" applyNumberFormat="1" applyFont="1" applyFill="1" applyBorder="1" applyAlignment="1" applyProtection="1">
      <alignment horizontal="left"/>
      <protection hidden="1"/>
    </xf>
    <xf numFmtId="9" fontId="103" fillId="17" borderId="50" xfId="212" applyFont="1" applyFill="1" applyBorder="1" applyAlignment="1" applyProtection="1">
      <alignment horizontal="left"/>
      <protection hidden="1"/>
    </xf>
    <xf numFmtId="0" fontId="103" fillId="17" borderId="50" xfId="0" applyFont="1" applyFill="1" applyBorder="1" applyAlignment="1" applyProtection="1">
      <alignment horizontal="left"/>
      <protection hidden="1"/>
    </xf>
    <xf numFmtId="171" fontId="133" fillId="17" borderId="0" xfId="0" applyNumberFormat="1" applyFont="1" applyFill="1" applyAlignment="1" applyProtection="1">
      <alignment horizontal="left" vertical="center" shrinkToFit="1"/>
      <protection hidden="1"/>
    </xf>
    <xf numFmtId="0" fontId="110" fillId="28" borderId="0" xfId="0" applyFont="1" applyFill="1" applyAlignment="1" applyProtection="1">
      <alignment horizontal="right" vertical="center"/>
      <protection hidden="1"/>
    </xf>
    <xf numFmtId="10" fontId="108" fillId="17" borderId="0" xfId="0" applyNumberFormat="1" applyFont="1" applyFill="1" applyAlignment="1" applyProtection="1">
      <alignment horizontal="left"/>
      <protection hidden="1"/>
    </xf>
    <xf numFmtId="0" fontId="108" fillId="17" borderId="0" xfId="0" applyFont="1" applyFill="1" applyAlignment="1" applyProtection="1">
      <alignment horizontal="left"/>
      <protection hidden="1"/>
    </xf>
    <xf numFmtId="0" fontId="133" fillId="17" borderId="0" xfId="0" applyFont="1" applyFill="1" applyAlignment="1" applyProtection="1">
      <alignment horizontal="center" vertical="center"/>
      <protection hidden="1"/>
    </xf>
    <xf numFmtId="9" fontId="108" fillId="17" borderId="0" xfId="0" applyNumberFormat="1" applyFont="1" applyFill="1" applyAlignment="1" applyProtection="1">
      <alignment horizontal="left"/>
      <protection hidden="1"/>
    </xf>
    <xf numFmtId="0" fontId="107" fillId="17" borderId="51" xfId="0" applyFont="1" applyFill="1" applyBorder="1" applyAlignment="1" applyProtection="1">
      <alignment horizontal="left" vertical="center"/>
      <protection hidden="1"/>
    </xf>
    <xf numFmtId="1" fontId="103" fillId="17" borderId="51" xfId="0" applyNumberFormat="1" applyFont="1" applyFill="1" applyBorder="1" applyAlignment="1" applyProtection="1">
      <alignment horizontal="left"/>
      <protection hidden="1"/>
    </xf>
    <xf numFmtId="0" fontId="68" fillId="11" borderId="0" xfId="0" applyFont="1" applyFill="1" applyAlignment="1" applyProtection="1">
      <alignment horizontal="center" vertical="center"/>
      <protection hidden="1"/>
    </xf>
    <xf numFmtId="186" fontId="55" fillId="28" borderId="0" xfId="0" applyNumberFormat="1" applyFont="1" applyFill="1" applyAlignment="1" applyProtection="1">
      <alignment horizontal="center" vertical="center"/>
      <protection hidden="1"/>
    </xf>
    <xf numFmtId="9" fontId="103" fillId="11" borderId="51" xfId="0" applyNumberFormat="1" applyFont="1" applyFill="1" applyBorder="1" applyAlignment="1" applyProtection="1">
      <alignment horizontal="left"/>
      <protection hidden="1"/>
    </xf>
    <xf numFmtId="168" fontId="103" fillId="11" borderId="51" xfId="0" applyNumberFormat="1" applyFont="1" applyFill="1" applyBorder="1" applyAlignment="1" applyProtection="1">
      <alignment horizontal="left"/>
      <protection hidden="1"/>
    </xf>
    <xf numFmtId="0" fontId="55" fillId="17" borderId="0" xfId="0" applyFont="1" applyFill="1" applyAlignment="1" applyProtection="1">
      <alignment horizontal="center" vertical="center"/>
      <protection hidden="1"/>
    </xf>
    <xf numFmtId="0" fontId="103" fillId="11" borderId="0" xfId="0" applyFont="1" applyFill="1" applyAlignment="1" applyProtection="1">
      <alignment horizontal="left"/>
      <protection hidden="1"/>
    </xf>
    <xf numFmtId="0" fontId="107" fillId="11" borderId="51" xfId="0" applyFont="1" applyFill="1" applyBorder="1" applyAlignment="1" applyProtection="1">
      <alignment horizontal="left"/>
      <protection hidden="1"/>
    </xf>
    <xf numFmtId="0" fontId="69" fillId="17" borderId="52" xfId="0" applyFont="1" applyFill="1" applyBorder="1" applyAlignment="1" applyProtection="1">
      <alignment horizontal="left" vertical="center"/>
      <protection hidden="1"/>
    </xf>
    <xf numFmtId="0" fontId="69" fillId="17" borderId="0" xfId="0" applyFont="1" applyFill="1" applyAlignment="1" applyProtection="1">
      <alignment horizontal="left" vertical="center"/>
      <protection hidden="1"/>
    </xf>
    <xf numFmtId="171" fontId="103" fillId="11" borderId="51" xfId="0" applyNumberFormat="1" applyFont="1" applyFill="1" applyBorder="1" applyAlignment="1" applyProtection="1">
      <alignment horizontal="left"/>
      <protection hidden="1"/>
    </xf>
    <xf numFmtId="171" fontId="103" fillId="11" borderId="50" xfId="0" applyNumberFormat="1" applyFont="1" applyFill="1" applyBorder="1" applyAlignment="1" applyProtection="1">
      <alignment horizontal="left"/>
      <protection hidden="1"/>
    </xf>
    <xf numFmtId="171" fontId="108" fillId="17" borderId="58" xfId="0" applyNumberFormat="1" applyFont="1" applyFill="1" applyBorder="1" applyAlignment="1" applyProtection="1">
      <alignment horizontal="right" vertical="center"/>
      <protection hidden="1"/>
    </xf>
    <xf numFmtId="0" fontId="103" fillId="17" borderId="51" xfId="0" applyFont="1" applyFill="1" applyBorder="1" applyAlignment="1" applyProtection="1">
      <alignment horizontal="left"/>
      <protection hidden="1"/>
    </xf>
    <xf numFmtId="0" fontId="109" fillId="20" borderId="0" xfId="0" applyFont="1" applyFill="1" applyAlignment="1" applyProtection="1">
      <alignment horizontal="center"/>
      <protection hidden="1"/>
    </xf>
    <xf numFmtId="0" fontId="103" fillId="11" borderId="0" xfId="0" applyFont="1" applyFill="1" applyAlignment="1" applyProtection="1">
      <alignment horizontal="left" vertical="center" wrapText="1" indent="1"/>
      <protection hidden="1"/>
    </xf>
    <xf numFmtId="0" fontId="33" fillId="20" borderId="3" xfId="0" applyFont="1" applyFill="1" applyBorder="1" applyAlignment="1" applyProtection="1">
      <alignment horizontal="right"/>
      <protection hidden="1"/>
    </xf>
    <xf numFmtId="0" fontId="33" fillId="20" borderId="59" xfId="0" applyFont="1" applyFill="1" applyBorder="1" applyAlignment="1" applyProtection="1">
      <alignment horizontal="right"/>
      <protection hidden="1"/>
    </xf>
    <xf numFmtId="0" fontId="108" fillId="17" borderId="0" xfId="0" applyFont="1" applyFill="1" applyAlignment="1" applyProtection="1">
      <alignment horizontal="left" vertical="top" wrapText="1"/>
      <protection hidden="1"/>
    </xf>
    <xf numFmtId="171" fontId="69" fillId="17" borderId="0" xfId="0" applyNumberFormat="1" applyFont="1" applyFill="1" applyBorder="1" applyAlignment="1" applyProtection="1">
      <alignment vertical="center" shrinkToFit="1"/>
      <protection hidden="1"/>
    </xf>
    <xf numFmtId="171" fontId="108" fillId="17" borderId="0" xfId="0" applyNumberFormat="1" applyFont="1" applyFill="1" applyAlignment="1" applyProtection="1">
      <alignment horizontal="left"/>
      <protection hidden="1"/>
    </xf>
    <xf numFmtId="0" fontId="70" fillId="17" borderId="0" xfId="0" applyFont="1" applyFill="1" applyAlignment="1" applyProtection="1">
      <alignment horizontal="left"/>
      <protection hidden="1"/>
    </xf>
    <xf numFmtId="0" fontId="107" fillId="11" borderId="50" xfId="0" applyFont="1" applyFill="1" applyBorder="1" applyAlignment="1" applyProtection="1">
      <alignment horizontal="left"/>
      <protection hidden="1"/>
    </xf>
    <xf numFmtId="171" fontId="111" fillId="17" borderId="52" xfId="0" applyNumberFormat="1" applyFont="1" applyFill="1" applyBorder="1" applyAlignment="1" applyProtection="1">
      <alignment horizontal="center" vertical="center" wrapText="1" shrinkToFit="1"/>
      <protection hidden="1"/>
    </xf>
    <xf numFmtId="171" fontId="111" fillId="17" borderId="50" xfId="0" applyNumberFormat="1" applyFont="1" applyFill="1" applyBorder="1" applyAlignment="1" applyProtection="1">
      <alignment horizontal="center" vertical="center" wrapText="1" shrinkToFit="1"/>
      <protection hidden="1"/>
    </xf>
    <xf numFmtId="0" fontId="68" fillId="17" borderId="52" xfId="0" applyFont="1" applyFill="1" applyBorder="1" applyAlignment="1" applyProtection="1">
      <alignment horizontal="left" vertical="center" wrapText="1"/>
      <protection hidden="1"/>
    </xf>
    <xf numFmtId="0" fontId="68" fillId="17" borderId="0" xfId="0" applyFont="1" applyFill="1" applyBorder="1" applyAlignment="1" applyProtection="1">
      <alignment horizontal="left" vertical="center" wrapText="1"/>
      <protection hidden="1"/>
    </xf>
    <xf numFmtId="0" fontId="68" fillId="17" borderId="50" xfId="0" applyFont="1" applyFill="1" applyBorder="1" applyAlignment="1" applyProtection="1">
      <alignment horizontal="left" vertical="center" wrapText="1"/>
      <protection hidden="1"/>
    </xf>
    <xf numFmtId="0" fontId="68" fillId="17" borderId="20" xfId="0" applyFont="1" applyFill="1" applyBorder="1" applyAlignment="1" applyProtection="1">
      <alignment horizontal="left" vertical="center" wrapText="1"/>
      <protection hidden="1"/>
    </xf>
    <xf numFmtId="0" fontId="68" fillId="17" borderId="58" xfId="0" applyFont="1" applyFill="1" applyBorder="1" applyAlignment="1" applyProtection="1">
      <alignment horizontal="left" vertical="center" wrapText="1"/>
      <protection hidden="1"/>
    </xf>
    <xf numFmtId="171" fontId="103" fillId="11" borderId="57" xfId="0" applyNumberFormat="1" applyFont="1" applyFill="1" applyBorder="1" applyAlignment="1" applyProtection="1">
      <alignment vertical="center" shrinkToFit="1"/>
      <protection hidden="1"/>
    </xf>
    <xf numFmtId="171" fontId="103" fillId="11" borderId="56" xfId="0" applyNumberFormat="1" applyFont="1" applyFill="1" applyBorder="1" applyAlignment="1" applyProtection="1">
      <alignment vertical="center" shrinkToFit="1"/>
      <protection hidden="1"/>
    </xf>
    <xf numFmtId="174" fontId="108" fillId="17" borderId="0" xfId="0" applyNumberFormat="1" applyFont="1" applyFill="1" applyAlignment="1" applyProtection="1">
      <alignment horizontal="left"/>
      <protection hidden="1"/>
    </xf>
    <xf numFmtId="174" fontId="108" fillId="17" borderId="50" xfId="0" applyNumberFormat="1" applyFont="1" applyFill="1" applyBorder="1" applyAlignment="1" applyProtection="1">
      <alignment horizontal="left"/>
      <protection hidden="1"/>
    </xf>
    <xf numFmtId="0" fontId="69" fillId="17" borderId="52" xfId="0" applyFont="1" applyFill="1" applyBorder="1" applyAlignment="1" applyProtection="1">
      <alignment horizontal="center" vertical="top" wrapText="1"/>
      <protection hidden="1"/>
    </xf>
    <xf numFmtId="0" fontId="69" fillId="17" borderId="0" xfId="0" applyFont="1" applyFill="1" applyBorder="1" applyAlignment="1" applyProtection="1">
      <alignment horizontal="center" vertical="top" wrapText="1"/>
      <protection hidden="1"/>
    </xf>
    <xf numFmtId="9" fontId="108" fillId="17" borderId="60" xfId="0" applyNumberFormat="1" applyFont="1" applyFill="1" applyBorder="1" applyAlignment="1" applyProtection="1">
      <alignment horizontal="left" vertical="center"/>
      <protection hidden="1"/>
    </xf>
    <xf numFmtId="0" fontId="69" fillId="17" borderId="0" xfId="0" applyFont="1" applyFill="1" applyAlignment="1" applyProtection="1">
      <alignment horizontal="left" wrapText="1"/>
      <protection hidden="1"/>
    </xf>
    <xf numFmtId="171" fontId="69" fillId="17" borderId="56" xfId="0" applyNumberFormat="1" applyFont="1" applyFill="1" applyBorder="1" applyAlignment="1" applyProtection="1">
      <alignment vertical="center" shrinkToFit="1"/>
      <protection hidden="1"/>
    </xf>
    <xf numFmtId="0" fontId="70" fillId="17" borderId="50" xfId="0" applyFont="1" applyFill="1" applyBorder="1" applyAlignment="1" applyProtection="1">
      <alignment horizontal="left"/>
      <protection hidden="1"/>
    </xf>
    <xf numFmtId="0" fontId="70" fillId="17" borderId="52" xfId="0" applyFont="1" applyFill="1" applyBorder="1" applyAlignment="1" applyProtection="1">
      <alignment horizontal="left"/>
      <protection hidden="1"/>
    </xf>
    <xf numFmtId="0" fontId="107" fillId="11" borderId="0" xfId="0" applyFont="1" applyFill="1" applyAlignment="1" applyProtection="1">
      <alignment horizontal="left"/>
      <protection hidden="1"/>
    </xf>
    <xf numFmtId="2" fontId="108" fillId="17" borderId="51" xfId="0" applyNumberFormat="1" applyFont="1" applyFill="1" applyBorder="1" applyAlignment="1" applyProtection="1">
      <alignment horizontal="left"/>
      <protection hidden="1"/>
    </xf>
    <xf numFmtId="0" fontId="70" fillId="17" borderId="52" xfId="0" applyFont="1" applyFill="1" applyBorder="1" applyAlignment="1" applyProtection="1">
      <alignment horizontal="left" vertical="center" wrapText="1"/>
      <protection hidden="1"/>
    </xf>
    <xf numFmtId="0" fontId="70" fillId="17" borderId="50" xfId="0" applyFont="1" applyFill="1" applyBorder="1" applyAlignment="1" applyProtection="1">
      <alignment horizontal="left" vertical="center" wrapText="1"/>
      <protection hidden="1"/>
    </xf>
    <xf numFmtId="0" fontId="70" fillId="17" borderId="0" xfId="0" applyFont="1" applyFill="1" applyBorder="1" applyAlignment="1" applyProtection="1">
      <alignment horizontal="left"/>
      <protection hidden="1"/>
    </xf>
    <xf numFmtId="9" fontId="108" fillId="17" borderId="73" xfId="0" applyNumberFormat="1" applyFont="1" applyFill="1" applyBorder="1" applyAlignment="1" applyProtection="1">
      <alignment horizontal="left"/>
      <protection hidden="1"/>
    </xf>
    <xf numFmtId="0" fontId="108" fillId="17" borderId="73" xfId="0" applyFont="1" applyFill="1" applyBorder="1" applyAlignment="1" applyProtection="1">
      <alignment horizontal="left"/>
      <protection hidden="1"/>
    </xf>
    <xf numFmtId="10" fontId="108" fillId="17" borderId="50" xfId="0" applyNumberFormat="1" applyFont="1" applyFill="1" applyBorder="1" applyAlignment="1" applyProtection="1">
      <alignment horizontal="left"/>
      <protection hidden="1"/>
    </xf>
    <xf numFmtId="0" fontId="69" fillId="17" borderId="0" xfId="0" applyFont="1" applyFill="1" applyAlignment="1" applyProtection="1">
      <alignment horizontal="right" vertical="center"/>
      <protection hidden="1"/>
    </xf>
    <xf numFmtId="171" fontId="108" fillId="17" borderId="52" xfId="0" applyNumberFormat="1" applyFont="1" applyFill="1" applyBorder="1" applyAlignment="1" applyProtection="1">
      <alignment horizontal="left" vertical="center"/>
      <protection hidden="1"/>
    </xf>
    <xf numFmtId="171" fontId="108" fillId="17" borderId="50" xfId="0" applyNumberFormat="1" applyFont="1" applyFill="1" applyBorder="1" applyAlignment="1" applyProtection="1">
      <alignment horizontal="left" vertical="center"/>
      <protection hidden="1"/>
    </xf>
    <xf numFmtId="171" fontId="108" fillId="17" borderId="51" xfId="208" applyNumberFormat="1" applyFont="1" applyFill="1" applyBorder="1" applyAlignment="1" applyProtection="1">
      <alignment horizontal="left"/>
      <protection hidden="1"/>
    </xf>
    <xf numFmtId="171" fontId="108" fillId="17" borderId="51" xfId="0" applyNumberFormat="1" applyFont="1" applyFill="1" applyBorder="1" applyAlignment="1" applyProtection="1">
      <alignment horizontal="left"/>
      <protection hidden="1"/>
    </xf>
    <xf numFmtId="171" fontId="69" fillId="17" borderId="55" xfId="0" applyNumberFormat="1" applyFont="1" applyFill="1" applyBorder="1" applyAlignment="1" applyProtection="1">
      <alignment vertical="center" shrinkToFit="1"/>
      <protection hidden="1"/>
    </xf>
    <xf numFmtId="171" fontId="103" fillId="11" borderId="57" xfId="0" applyNumberFormat="1" applyFont="1" applyFill="1" applyBorder="1" applyAlignment="1" applyProtection="1">
      <alignment horizontal="center" vertical="center" shrinkToFit="1"/>
      <protection hidden="1"/>
    </xf>
    <xf numFmtId="171" fontId="103" fillId="11" borderId="56" xfId="0" applyNumberFormat="1" applyFont="1" applyFill="1" applyBorder="1" applyAlignment="1" applyProtection="1">
      <alignment horizontal="center" vertical="center" shrinkToFit="1"/>
      <protection hidden="1"/>
    </xf>
    <xf numFmtId="171" fontId="69" fillId="17" borderId="54" xfId="0" applyNumberFormat="1" applyFont="1" applyFill="1" applyBorder="1" applyAlignment="1" applyProtection="1">
      <alignment vertical="center" shrinkToFit="1"/>
      <protection hidden="1"/>
    </xf>
    <xf numFmtId="10" fontId="108" fillId="17" borderId="51" xfId="0" applyNumberFormat="1" applyFont="1" applyFill="1" applyBorder="1" applyAlignment="1" applyProtection="1">
      <alignment horizontal="left"/>
      <protection hidden="1"/>
    </xf>
    <xf numFmtId="0" fontId="3" fillId="17" borderId="0" xfId="0" applyFont="1" applyFill="1" applyAlignment="1" applyProtection="1">
      <alignment horizontal="left" vertical="center" wrapText="1"/>
      <protection hidden="1"/>
    </xf>
    <xf numFmtId="168" fontId="108" fillId="17" borderId="50" xfId="208" applyNumberFormat="1" applyFont="1" applyFill="1" applyBorder="1" applyAlignment="1" applyProtection="1">
      <alignment horizontal="left"/>
      <protection hidden="1"/>
    </xf>
    <xf numFmtId="171" fontId="103" fillId="17" borderId="60" xfId="208" applyNumberFormat="1" applyFont="1" applyFill="1" applyBorder="1" applyAlignment="1" applyProtection="1">
      <alignment horizontal="left"/>
      <protection hidden="1"/>
    </xf>
    <xf numFmtId="0" fontId="108" fillId="17" borderId="51" xfId="0" applyFont="1" applyFill="1" applyBorder="1" applyAlignment="1" applyProtection="1">
      <alignment horizontal="left"/>
      <protection hidden="1"/>
    </xf>
    <xf numFmtId="10" fontId="103" fillId="17" borderId="51" xfId="0" applyNumberFormat="1" applyFont="1" applyFill="1" applyBorder="1" applyAlignment="1" applyProtection="1">
      <alignment horizontal="left"/>
      <protection hidden="1"/>
    </xf>
    <xf numFmtId="9" fontId="108" fillId="17" borderId="50" xfId="0" applyNumberFormat="1" applyFont="1" applyFill="1" applyBorder="1" applyAlignment="1" applyProtection="1">
      <alignment horizontal="left"/>
      <protection hidden="1"/>
    </xf>
    <xf numFmtId="10" fontId="108" fillId="17" borderId="50" xfId="0" applyNumberFormat="1" applyFont="1" applyFill="1" applyBorder="1" applyAlignment="1" applyProtection="1">
      <alignment horizontal="left" vertical="center"/>
      <protection hidden="1"/>
    </xf>
    <xf numFmtId="0" fontId="108" fillId="17" borderId="50" xfId="0" applyFont="1" applyFill="1" applyBorder="1" applyAlignment="1" applyProtection="1">
      <alignment horizontal="left" vertical="center"/>
      <protection hidden="1"/>
    </xf>
    <xf numFmtId="10" fontId="108" fillId="17" borderId="51" xfId="0" applyNumberFormat="1" applyFont="1" applyFill="1" applyBorder="1" applyAlignment="1" applyProtection="1">
      <alignment horizontal="left" vertical="center"/>
      <protection hidden="1"/>
    </xf>
    <xf numFmtId="0" fontId="108" fillId="17" borderId="51" xfId="0" applyFont="1" applyFill="1" applyBorder="1" applyAlignment="1" applyProtection="1">
      <alignment horizontal="left" vertical="center"/>
      <protection hidden="1"/>
    </xf>
    <xf numFmtId="10" fontId="108" fillId="17" borderId="0" xfId="0" applyNumberFormat="1" applyFont="1" applyFill="1" applyBorder="1" applyAlignment="1" applyProtection="1">
      <alignment horizontal="left" vertical="center"/>
      <protection hidden="1"/>
    </xf>
    <xf numFmtId="0" fontId="108" fillId="17" borderId="0" xfId="0" applyFont="1" applyFill="1" applyBorder="1" applyAlignment="1" applyProtection="1">
      <alignment horizontal="left" vertical="center"/>
      <protection hidden="1"/>
    </xf>
    <xf numFmtId="9" fontId="108" fillId="17" borderId="51" xfId="0" applyNumberFormat="1" applyFont="1" applyFill="1" applyBorder="1" applyAlignment="1" applyProtection="1">
      <alignment horizontal="left"/>
      <protection hidden="1"/>
    </xf>
    <xf numFmtId="0" fontId="107" fillId="17" borderId="53" xfId="0" applyFont="1" applyFill="1" applyBorder="1" applyAlignment="1" applyProtection="1">
      <alignment horizontal="left"/>
      <protection hidden="1"/>
    </xf>
    <xf numFmtId="0" fontId="108" fillId="17" borderId="60" xfId="0" applyFont="1" applyFill="1" applyBorder="1" applyAlignment="1" applyProtection="1">
      <alignment horizontal="right"/>
      <protection hidden="1"/>
    </xf>
    <xf numFmtId="0" fontId="108" fillId="17" borderId="51" xfId="0" applyFont="1" applyFill="1" applyBorder="1" applyAlignment="1" applyProtection="1">
      <alignment horizontal="right"/>
      <protection hidden="1"/>
    </xf>
    <xf numFmtId="0" fontId="48" fillId="17" borderId="0" xfId="0" applyFont="1" applyFill="1" applyAlignment="1">
      <alignment horizontal="left" wrapText="1"/>
    </xf>
    <xf numFmtId="0" fontId="3" fillId="17" borderId="0" xfId="0" applyFont="1" applyFill="1" applyAlignment="1">
      <alignment horizontal="left" vertical="top" wrapText="1"/>
    </xf>
    <xf numFmtId="0" fontId="3" fillId="17" borderId="0" xfId="0" applyFont="1" applyFill="1" applyAlignment="1" applyProtection="1">
      <alignment horizontal="left" wrapText="1"/>
      <protection hidden="1"/>
    </xf>
    <xf numFmtId="0" fontId="108" fillId="17" borderId="50" xfId="0" applyFont="1" applyFill="1" applyBorder="1" applyAlignment="1" applyProtection="1">
      <alignment horizontal="left"/>
      <protection hidden="1"/>
    </xf>
    <xf numFmtId="0" fontId="70" fillId="17" borderId="51" xfId="0" applyFont="1" applyFill="1" applyBorder="1" applyAlignment="1" applyProtection="1">
      <alignment horizontal="left"/>
      <protection hidden="1"/>
    </xf>
    <xf numFmtId="0" fontId="108" fillId="17" borderId="73" xfId="0" applyFont="1" applyFill="1" applyBorder="1" applyAlignment="1" applyProtection="1">
      <alignment horizontal="right"/>
      <protection hidden="1"/>
    </xf>
    <xf numFmtId="0" fontId="108" fillId="17" borderId="50" xfId="0" applyFont="1" applyFill="1" applyBorder="1" applyAlignment="1" applyProtection="1">
      <alignment horizontal="right"/>
      <protection hidden="1"/>
    </xf>
    <xf numFmtId="0" fontId="47" fillId="11" borderId="0" xfId="0" applyFont="1" applyFill="1" applyAlignment="1" applyProtection="1">
      <alignment horizontal="left"/>
      <protection hidden="1"/>
    </xf>
    <xf numFmtId="0" fontId="38" fillId="11" borderId="0" xfId="0" applyFont="1" applyFill="1" applyAlignment="1" applyProtection="1">
      <alignment horizontal="left" vertical="top" wrapText="1"/>
      <protection hidden="1"/>
    </xf>
    <xf numFmtId="187" fontId="105" fillId="28" borderId="0" xfId="0" applyNumberFormat="1" applyFont="1" applyFill="1" applyAlignment="1" applyProtection="1">
      <alignment horizontal="right" vertical="center" indent="1"/>
      <protection hidden="1"/>
    </xf>
    <xf numFmtId="14" fontId="103" fillId="17" borderId="50" xfId="0" applyNumberFormat="1" applyFont="1" applyFill="1" applyBorder="1" applyAlignment="1" applyProtection="1">
      <alignment horizontal="left"/>
      <protection hidden="1"/>
    </xf>
    <xf numFmtId="0" fontId="107" fillId="17" borderId="50" xfId="0" applyFont="1" applyFill="1" applyBorder="1" applyAlignment="1" applyProtection="1">
      <alignment horizontal="left" vertical="center"/>
      <protection hidden="1"/>
    </xf>
    <xf numFmtId="0" fontId="107" fillId="17" borderId="52" xfId="0" applyFont="1" applyFill="1" applyBorder="1" applyAlignment="1" applyProtection="1">
      <alignment horizontal="left"/>
      <protection hidden="1"/>
    </xf>
    <xf numFmtId="9" fontId="108" fillId="17" borderId="51" xfId="0" applyNumberFormat="1" applyFont="1" applyFill="1" applyBorder="1" applyAlignment="1" applyProtection="1">
      <alignment horizontal="left" vertical="center"/>
      <protection hidden="1"/>
    </xf>
    <xf numFmtId="0" fontId="3" fillId="17" borderId="0" xfId="0" applyFont="1" applyFill="1" applyAlignment="1" applyProtection="1">
      <alignment horizontal="left" vertical="top" wrapText="1"/>
      <protection hidden="1"/>
    </xf>
    <xf numFmtId="0" fontId="38" fillId="0" borderId="0" xfId="0" applyFont="1" applyAlignment="1">
      <alignment horizontal="left" vertical="top" wrapText="1"/>
    </xf>
    <xf numFmtId="0" fontId="107" fillId="17" borderId="60" xfId="0" applyFont="1" applyFill="1" applyBorder="1" applyAlignment="1" applyProtection="1">
      <alignment horizontal="left"/>
      <protection hidden="1"/>
    </xf>
    <xf numFmtId="10" fontId="103" fillId="17" borderId="51" xfId="212" applyNumberFormat="1" applyFont="1" applyFill="1" applyBorder="1" applyAlignment="1" applyProtection="1">
      <alignment horizontal="left"/>
      <protection hidden="1"/>
    </xf>
    <xf numFmtId="0" fontId="128" fillId="17" borderId="0" xfId="0" applyFont="1" applyFill="1" applyAlignment="1" applyProtection="1">
      <alignment horizontal="left"/>
      <protection hidden="1"/>
    </xf>
    <xf numFmtId="171" fontId="128" fillId="17" borderId="0" xfId="0" applyNumberFormat="1" applyFont="1" applyFill="1" applyAlignment="1" applyProtection="1">
      <alignment horizontal="left"/>
      <protection hidden="1"/>
    </xf>
    <xf numFmtId="0" fontId="128" fillId="17" borderId="0" xfId="0" applyFont="1" applyFill="1" applyAlignment="1" applyProtection="1">
      <alignment horizontal="left" vertical="top" wrapText="1"/>
      <protection hidden="1"/>
    </xf>
    <xf numFmtId="0" fontId="134" fillId="17" borderId="0" xfId="0" applyFont="1" applyFill="1" applyAlignment="1" applyProtection="1">
      <alignment horizontal="center" vertical="top"/>
      <protection hidden="1"/>
    </xf>
    <xf numFmtId="0" fontId="128" fillId="17" borderId="0" xfId="0" applyFont="1" applyFill="1" applyAlignment="1" applyProtection="1">
      <alignment horizontal="center" vertical="top"/>
      <protection hidden="1"/>
    </xf>
    <xf numFmtId="0" fontId="128" fillId="17" borderId="0" xfId="0" applyFont="1" applyFill="1" applyAlignment="1" applyProtection="1">
      <alignment horizontal="left" wrapText="1"/>
      <protection hidden="1"/>
    </xf>
    <xf numFmtId="0" fontId="134" fillId="17" borderId="0" xfId="0" applyFont="1" applyFill="1" applyAlignment="1" applyProtection="1">
      <alignment horizontal="left" vertical="top" wrapText="1"/>
      <protection hidden="1"/>
    </xf>
    <xf numFmtId="0" fontId="130" fillId="11" borderId="0" xfId="0" applyFont="1" applyFill="1" applyBorder="1" applyAlignment="1" applyProtection="1">
      <alignment horizontal="left"/>
      <protection hidden="1"/>
    </xf>
    <xf numFmtId="0" fontId="131" fillId="32" borderId="0" xfId="0" applyFont="1" applyFill="1" applyAlignment="1" applyProtection="1">
      <alignment horizontal="left" vertical="center"/>
      <protection hidden="1"/>
    </xf>
    <xf numFmtId="0" fontId="128" fillId="17" borderId="0" xfId="0" applyFont="1" applyFill="1" applyAlignment="1" applyProtection="1">
      <alignment horizontal="center"/>
      <protection hidden="1"/>
    </xf>
    <xf numFmtId="0" fontId="129" fillId="17" borderId="0" xfId="0" applyFont="1" applyFill="1" applyBorder="1" applyAlignment="1" applyProtection="1">
      <alignment horizontal="left"/>
      <protection hidden="1"/>
    </xf>
    <xf numFmtId="0" fontId="128" fillId="17" borderId="0" xfId="0" applyFont="1" applyFill="1" applyAlignment="1" applyProtection="1">
      <alignment horizontal="left" vertical="center" wrapText="1"/>
      <protection hidden="1"/>
    </xf>
    <xf numFmtId="0" fontId="128" fillId="17" borderId="0" xfId="0" applyFont="1" applyFill="1" applyAlignment="1" applyProtection="1">
      <alignment horizontal="center" vertical="top" wrapText="1"/>
      <protection hidden="1"/>
    </xf>
    <xf numFmtId="0" fontId="130" fillId="17" borderId="0" xfId="0" applyFont="1" applyFill="1" applyAlignment="1" applyProtection="1">
      <alignment horizontal="right"/>
      <protection hidden="1"/>
    </xf>
    <xf numFmtId="168" fontId="128" fillId="17" borderId="0" xfId="0" applyNumberFormat="1" applyFont="1" applyFill="1" applyAlignment="1" applyProtection="1">
      <alignment horizontal="left"/>
      <protection hidden="1"/>
    </xf>
    <xf numFmtId="9" fontId="128" fillId="17" borderId="0" xfId="0" applyNumberFormat="1" applyFont="1" applyFill="1" applyAlignment="1" applyProtection="1">
      <alignment horizontal="left"/>
      <protection hidden="1"/>
    </xf>
    <xf numFmtId="10" fontId="128" fillId="17" borderId="0" xfId="0" applyNumberFormat="1" applyFont="1" applyFill="1" applyAlignment="1" applyProtection="1">
      <alignment horizontal="left"/>
      <protection hidden="1"/>
    </xf>
    <xf numFmtId="0" fontId="130" fillId="17" borderId="0" xfId="0" applyFont="1" applyFill="1" applyAlignment="1" applyProtection="1">
      <alignment horizontal="center"/>
      <protection hidden="1"/>
    </xf>
    <xf numFmtId="0" fontId="40" fillId="0" borderId="0" xfId="0" applyFont="1" applyAlignment="1">
      <alignment horizontal="center"/>
    </xf>
    <xf numFmtId="0" fontId="0" fillId="12" borderId="15" xfId="0" applyFont="1" applyFill="1" applyBorder="1" applyAlignment="1">
      <alignment horizontal="center"/>
    </xf>
    <xf numFmtId="0" fontId="0" fillId="12" borderId="13" xfId="0" applyFont="1" applyFill="1" applyBorder="1" applyAlignment="1">
      <alignment horizontal="center"/>
    </xf>
    <xf numFmtId="0" fontId="0" fillId="12" borderId="14" xfId="0" applyFont="1" applyFill="1" applyBorder="1" applyAlignment="1">
      <alignment horizontal="center"/>
    </xf>
    <xf numFmtId="0" fontId="0" fillId="18" borderId="0" xfId="0" applyFont="1" applyFill="1" applyAlignment="1">
      <alignment horizontal="center"/>
    </xf>
    <xf numFmtId="0" fontId="39" fillId="0" borderId="0" xfId="210" applyFont="1" applyAlignment="1" applyProtection="1">
      <alignment horizontal="center"/>
      <protection hidden="1"/>
    </xf>
    <xf numFmtId="0" fontId="30" fillId="0" borderId="0" xfId="0" applyFont="1" applyAlignment="1">
      <alignment horizontal="center"/>
    </xf>
    <xf numFmtId="0" fontId="48" fillId="17" borderId="0" xfId="0" applyFont="1" applyFill="1" applyBorder="1" applyAlignment="1">
      <alignment horizontal="center" wrapText="1"/>
    </xf>
    <xf numFmtId="0" fontId="48" fillId="17" borderId="3" xfId="0" applyFont="1" applyFill="1" applyBorder="1" applyAlignment="1">
      <alignment horizontal="center" wrapText="1"/>
    </xf>
    <xf numFmtId="0" fontId="30" fillId="17" borderId="0" xfId="0" applyFont="1" applyFill="1" applyAlignment="1">
      <alignment horizontal="center" wrapText="1"/>
    </xf>
    <xf numFmtId="0" fontId="30" fillId="17" borderId="24" xfId="0" applyFont="1" applyFill="1" applyBorder="1" applyAlignment="1">
      <alignment horizontal="center" wrapText="1"/>
    </xf>
    <xf numFmtId="0" fontId="30" fillId="17" borderId="3" xfId="0" applyFont="1" applyFill="1" applyBorder="1" applyAlignment="1">
      <alignment horizontal="center" wrapText="1"/>
    </xf>
    <xf numFmtId="171" fontId="53" fillId="17" borderId="15" xfId="208" applyNumberFormat="1" applyFont="1" applyFill="1" applyBorder="1" applyAlignment="1">
      <alignment horizontal="center" vertical="center"/>
    </xf>
    <xf numFmtId="171" fontId="53" fillId="17" borderId="14" xfId="208" applyNumberFormat="1" applyFont="1" applyFill="1" applyBorder="1" applyAlignment="1">
      <alignment horizontal="center" vertical="center"/>
    </xf>
    <xf numFmtId="171" fontId="53" fillId="17" borderId="13" xfId="208" applyNumberFormat="1" applyFont="1" applyFill="1" applyBorder="1" applyAlignment="1">
      <alignment horizontal="center" vertical="center"/>
    </xf>
    <xf numFmtId="0" fontId="49" fillId="20" borderId="0" xfId="0" applyFont="1" applyFill="1" applyAlignment="1">
      <alignment horizontal="center" wrapText="1"/>
    </xf>
    <xf numFmtId="0" fontId="30" fillId="17" borderId="15" xfId="0" applyFont="1" applyFill="1" applyBorder="1" applyAlignment="1">
      <alignment horizontal="left"/>
    </xf>
    <xf numFmtId="0" fontId="30" fillId="17" borderId="13" xfId="0" applyFont="1" applyFill="1" applyBorder="1" applyAlignment="1">
      <alignment horizontal="left"/>
    </xf>
    <xf numFmtId="0" fontId="14" fillId="0" borderId="0" xfId="1213" applyFill="1" applyAlignment="1">
      <alignment horizontal="center"/>
    </xf>
    <xf numFmtId="0" fontId="43" fillId="0" borderId="0" xfId="1213" applyFont="1" applyFill="1" applyAlignment="1">
      <alignment horizontal="center"/>
    </xf>
    <xf numFmtId="0" fontId="44" fillId="39" borderId="15" xfId="217" applyFill="1" applyBorder="1" applyAlignment="1">
      <alignment horizontal="left" wrapText="1"/>
    </xf>
    <xf numFmtId="0" fontId="44" fillId="39" borderId="14" xfId="217" applyFill="1" applyBorder="1" applyAlignment="1">
      <alignment horizontal="left" wrapText="1"/>
    </xf>
    <xf numFmtId="0" fontId="44" fillId="39" borderId="13" xfId="217" applyFill="1" applyBorder="1" applyAlignment="1">
      <alignment horizontal="left" wrapText="1"/>
    </xf>
    <xf numFmtId="0" fontId="120" fillId="35" borderId="15" xfId="0" applyFont="1" applyFill="1" applyBorder="1" applyAlignment="1">
      <alignment horizontal="left"/>
    </xf>
    <xf numFmtId="0" fontId="120" fillId="35" borderId="14" xfId="0" applyFont="1" applyFill="1" applyBorder="1" applyAlignment="1">
      <alignment horizontal="left"/>
    </xf>
    <xf numFmtId="0" fontId="120" fillId="35" borderId="13" xfId="0" applyFont="1" applyFill="1" applyBorder="1" applyAlignment="1">
      <alignment horizontal="left"/>
    </xf>
    <xf numFmtId="0" fontId="32" fillId="0" borderId="27" xfId="0" applyFont="1" applyBorder="1" applyAlignment="1">
      <alignment horizontal="center"/>
    </xf>
    <xf numFmtId="0" fontId="32" fillId="0" borderId="28" xfId="0" applyFont="1" applyBorder="1" applyAlignment="1">
      <alignment horizontal="center"/>
    </xf>
    <xf numFmtId="0" fontId="1" fillId="10" borderId="15" xfId="217" applyFont="1" applyFill="1" applyBorder="1" applyAlignment="1">
      <alignment horizontal="left" wrapText="1"/>
    </xf>
    <xf numFmtId="0" fontId="1" fillId="10" borderId="14" xfId="217" applyFont="1" applyFill="1" applyBorder="1" applyAlignment="1">
      <alignment horizontal="left" wrapText="1"/>
    </xf>
    <xf numFmtId="0" fontId="1" fillId="10" borderId="13" xfId="217" applyFont="1" applyFill="1" applyBorder="1" applyAlignment="1">
      <alignment horizontal="left" wrapText="1"/>
    </xf>
    <xf numFmtId="0" fontId="44" fillId="16" borderId="15" xfId="217" applyBorder="1" applyAlignment="1">
      <alignment horizontal="left" wrapText="1"/>
    </xf>
    <xf numFmtId="0" fontId="44" fillId="16" borderId="14" xfId="217" applyBorder="1" applyAlignment="1">
      <alignment horizontal="left" wrapText="1"/>
    </xf>
    <xf numFmtId="0" fontId="44" fillId="16" borderId="13" xfId="217" applyBorder="1" applyAlignment="1">
      <alignment horizontal="left" wrapText="1"/>
    </xf>
    <xf numFmtId="0" fontId="143" fillId="10" borderId="16" xfId="0" applyFont="1" applyFill="1" applyBorder="1" applyAlignment="1">
      <alignment horizontal="left" vertical="center"/>
    </xf>
    <xf numFmtId="0" fontId="143" fillId="10" borderId="16" xfId="0" applyFont="1" applyFill="1" applyBorder="1" applyAlignment="1">
      <alignment horizontal="center" vertical="center" wrapText="1"/>
    </xf>
    <xf numFmtId="0" fontId="32" fillId="39" borderId="27" xfId="0" applyFont="1" applyFill="1" applyBorder="1" applyAlignment="1">
      <alignment horizontal="center"/>
    </xf>
    <xf numFmtId="0" fontId="32" fillId="39" borderId="28" xfId="0" applyFont="1" applyFill="1" applyBorder="1" applyAlignment="1">
      <alignment horizontal="center"/>
    </xf>
  </cellXfs>
  <cellStyles count="5053">
    <cellStyle name="Bad" xfId="5052" builtinId="27"/>
    <cellStyle name="Calculation 2" xfId="936"/>
    <cellStyle name="Comma" xfId="209" builtinId="3"/>
    <cellStyle name="Comma 2" xfId="220"/>
    <cellStyle name="Comma 2 2" xfId="726"/>
    <cellStyle name="Comma 3" xfId="440"/>
    <cellStyle name="Comma 4" xfId="659"/>
    <cellStyle name="Comma 5" xfId="671"/>
    <cellStyle name="Comma 6" xfId="691"/>
    <cellStyle name="Comma 7" xfId="728"/>
    <cellStyle name="Comma 7 2" xfId="796"/>
    <cellStyle name="Comma 7 2 2" xfId="933"/>
    <cellStyle name="Comma 7 2 2 2" xfId="1208"/>
    <cellStyle name="Comma 7 2 2 2 2" xfId="1760"/>
    <cellStyle name="Comma 7 2 2 2 2 2" xfId="2856"/>
    <cellStyle name="Comma 7 2 2 2 2 2 2" xfId="5049"/>
    <cellStyle name="Comma 7 2 2 2 2 3" xfId="3953"/>
    <cellStyle name="Comma 7 2 2 2 3" xfId="2308"/>
    <cellStyle name="Comma 7 2 2 2 3 2" xfId="4501"/>
    <cellStyle name="Comma 7 2 2 2 4" xfId="3405"/>
    <cellStyle name="Comma 7 2 2 3" xfId="1486"/>
    <cellStyle name="Comma 7 2 2 3 2" xfId="2582"/>
    <cellStyle name="Comma 7 2 2 3 2 2" xfId="4775"/>
    <cellStyle name="Comma 7 2 2 3 3" xfId="3679"/>
    <cellStyle name="Comma 7 2 2 4" xfId="2034"/>
    <cellStyle name="Comma 7 2 2 4 2" xfId="4227"/>
    <cellStyle name="Comma 7 2 2 5" xfId="3131"/>
    <cellStyle name="Comma 7 2 3" xfId="1071"/>
    <cellStyle name="Comma 7 2 3 2" xfId="1623"/>
    <cellStyle name="Comma 7 2 3 2 2" xfId="2719"/>
    <cellStyle name="Comma 7 2 3 2 2 2" xfId="4912"/>
    <cellStyle name="Comma 7 2 3 2 3" xfId="3816"/>
    <cellStyle name="Comma 7 2 3 3" xfId="2171"/>
    <cellStyle name="Comma 7 2 3 3 2" xfId="4364"/>
    <cellStyle name="Comma 7 2 3 4" xfId="3268"/>
    <cellStyle name="Comma 7 2 4" xfId="1349"/>
    <cellStyle name="Comma 7 2 4 2" xfId="2445"/>
    <cellStyle name="Comma 7 2 4 2 2" xfId="4638"/>
    <cellStyle name="Comma 7 2 4 3" xfId="3542"/>
    <cellStyle name="Comma 7 2 5" xfId="1897"/>
    <cellStyle name="Comma 7 2 5 2" xfId="4090"/>
    <cellStyle name="Comma 7 2 6" xfId="2994"/>
    <cellStyle name="Comma 7 3" xfId="865"/>
    <cellStyle name="Comma 7 3 2" xfId="1140"/>
    <cellStyle name="Comma 7 3 2 2" xfId="1692"/>
    <cellStyle name="Comma 7 3 2 2 2" xfId="2788"/>
    <cellStyle name="Comma 7 3 2 2 2 2" xfId="4981"/>
    <cellStyle name="Comma 7 3 2 2 3" xfId="3885"/>
    <cellStyle name="Comma 7 3 2 3" xfId="2240"/>
    <cellStyle name="Comma 7 3 2 3 2" xfId="4433"/>
    <cellStyle name="Comma 7 3 2 4" xfId="3337"/>
    <cellStyle name="Comma 7 3 3" xfId="1418"/>
    <cellStyle name="Comma 7 3 3 2" xfId="2514"/>
    <cellStyle name="Comma 7 3 3 2 2" xfId="4707"/>
    <cellStyle name="Comma 7 3 3 3" xfId="3611"/>
    <cellStyle name="Comma 7 3 4" xfId="1966"/>
    <cellStyle name="Comma 7 3 4 2" xfId="4159"/>
    <cellStyle name="Comma 7 3 5" xfId="3063"/>
    <cellStyle name="Comma 7 4" xfId="1003"/>
    <cellStyle name="Comma 7 4 2" xfId="1555"/>
    <cellStyle name="Comma 7 4 2 2" xfId="2651"/>
    <cellStyle name="Comma 7 4 2 2 2" xfId="4844"/>
    <cellStyle name="Comma 7 4 2 3" xfId="3748"/>
    <cellStyle name="Comma 7 4 3" xfId="2103"/>
    <cellStyle name="Comma 7 4 3 2" xfId="4296"/>
    <cellStyle name="Comma 7 4 4" xfId="3200"/>
    <cellStyle name="Comma 7 5" xfId="1281"/>
    <cellStyle name="Comma 7 5 2" xfId="2377"/>
    <cellStyle name="Comma 7 5 2 2" xfId="4570"/>
    <cellStyle name="Comma 7 5 3" xfId="3474"/>
    <cellStyle name="Comma 7 6" xfId="1829"/>
    <cellStyle name="Comma 7 6 2" xfId="4022"/>
    <cellStyle name="Comma 7 7" xfId="2926"/>
    <cellStyle name="Comma_SocialSecuritySettings" xfId="1211"/>
    <cellStyle name="Currency" xfId="208" builtinId="4"/>
    <cellStyle name="Currency 2" xfId="221"/>
    <cellStyle name="Currency 3" xfId="439"/>
    <cellStyle name="Currency 4" xfId="658"/>
    <cellStyle name="Currency 5" xfId="670"/>
    <cellStyle name="Currency 6" xfId="690"/>
    <cellStyle name="Currency 7" xfId="729"/>
    <cellStyle name="Currency 7 2" xfId="797"/>
    <cellStyle name="Currency 7 2 2" xfId="934"/>
    <cellStyle name="Currency 7 2 2 2" xfId="1209"/>
    <cellStyle name="Currency 7 2 2 2 2" xfId="1761"/>
    <cellStyle name="Currency 7 2 2 2 2 2" xfId="2857"/>
    <cellStyle name="Currency 7 2 2 2 2 2 2" xfId="5050"/>
    <cellStyle name="Currency 7 2 2 2 2 3" xfId="3954"/>
    <cellStyle name="Currency 7 2 2 2 3" xfId="2309"/>
    <cellStyle name="Currency 7 2 2 2 3 2" xfId="4502"/>
    <cellStyle name="Currency 7 2 2 2 4" xfId="3406"/>
    <cellStyle name="Currency 7 2 2 3" xfId="1487"/>
    <cellStyle name="Currency 7 2 2 3 2" xfId="2583"/>
    <cellStyle name="Currency 7 2 2 3 2 2" xfId="4776"/>
    <cellStyle name="Currency 7 2 2 3 3" xfId="3680"/>
    <cellStyle name="Currency 7 2 2 4" xfId="2035"/>
    <cellStyle name="Currency 7 2 2 4 2" xfId="4228"/>
    <cellStyle name="Currency 7 2 2 5" xfId="3132"/>
    <cellStyle name="Currency 7 2 3" xfId="1072"/>
    <cellStyle name="Currency 7 2 3 2" xfId="1624"/>
    <cellStyle name="Currency 7 2 3 2 2" xfId="2720"/>
    <cellStyle name="Currency 7 2 3 2 2 2" xfId="4913"/>
    <cellStyle name="Currency 7 2 3 2 3" xfId="3817"/>
    <cellStyle name="Currency 7 2 3 3" xfId="2172"/>
    <cellStyle name="Currency 7 2 3 3 2" xfId="4365"/>
    <cellStyle name="Currency 7 2 3 4" xfId="3269"/>
    <cellStyle name="Currency 7 2 4" xfId="1350"/>
    <cellStyle name="Currency 7 2 4 2" xfId="2446"/>
    <cellStyle name="Currency 7 2 4 2 2" xfId="4639"/>
    <cellStyle name="Currency 7 2 4 3" xfId="3543"/>
    <cellStyle name="Currency 7 2 5" xfId="1898"/>
    <cellStyle name="Currency 7 2 5 2" xfId="4091"/>
    <cellStyle name="Currency 7 2 6" xfId="2995"/>
    <cellStyle name="Currency 7 3" xfId="866"/>
    <cellStyle name="Currency 7 3 2" xfId="1141"/>
    <cellStyle name="Currency 7 3 2 2" xfId="1693"/>
    <cellStyle name="Currency 7 3 2 2 2" xfId="2789"/>
    <cellStyle name="Currency 7 3 2 2 2 2" xfId="4982"/>
    <cellStyle name="Currency 7 3 2 2 3" xfId="3886"/>
    <cellStyle name="Currency 7 3 2 3" xfId="2241"/>
    <cellStyle name="Currency 7 3 2 3 2" xfId="4434"/>
    <cellStyle name="Currency 7 3 2 4" xfId="3338"/>
    <cellStyle name="Currency 7 3 3" xfId="1419"/>
    <cellStyle name="Currency 7 3 3 2" xfId="2515"/>
    <cellStyle name="Currency 7 3 3 2 2" xfId="4708"/>
    <cellStyle name="Currency 7 3 3 3" xfId="3612"/>
    <cellStyle name="Currency 7 3 4" xfId="1967"/>
    <cellStyle name="Currency 7 3 4 2" xfId="4160"/>
    <cellStyle name="Currency 7 3 5" xfId="3064"/>
    <cellStyle name="Currency 7 4" xfId="1004"/>
    <cellStyle name="Currency 7 4 2" xfId="1556"/>
    <cellStyle name="Currency 7 4 2 2" xfId="2652"/>
    <cellStyle name="Currency 7 4 2 2 2" xfId="4845"/>
    <cellStyle name="Currency 7 4 2 3" xfId="3749"/>
    <cellStyle name="Currency 7 4 3" xfId="2104"/>
    <cellStyle name="Currency 7 4 3 2" xfId="4297"/>
    <cellStyle name="Currency 7 4 4" xfId="3201"/>
    <cellStyle name="Currency 7 5" xfId="1282"/>
    <cellStyle name="Currency 7 5 2" xfId="2378"/>
    <cellStyle name="Currency 7 5 2 2" xfId="4571"/>
    <cellStyle name="Currency 7 5 3" xfId="3475"/>
    <cellStyle name="Currency 7 6" xfId="1830"/>
    <cellStyle name="Currency 7 6 2" xfId="4023"/>
    <cellStyle name="Currency 7 7" xfId="2927"/>
    <cellStyle name="Currency_SocialSecuritySettings" xfId="121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13" builtinId="9" hidden="1"/>
    <cellStyle name="Followed Hyperlink" xfId="214" builtinId="9" hidden="1"/>
    <cellStyle name="Followed Hyperlink" xfId="215" builtinId="9" hidden="1"/>
    <cellStyle name="Followed Hyperlink 10" xfId="249"/>
    <cellStyle name="Followed Hyperlink 100" xfId="429"/>
    <cellStyle name="Followed Hyperlink 101" xfId="431"/>
    <cellStyle name="Followed Hyperlink 102" xfId="433"/>
    <cellStyle name="Followed Hyperlink 103" xfId="435"/>
    <cellStyle name="Followed Hyperlink 104" xfId="437"/>
    <cellStyle name="Followed Hyperlink 105" xfId="442"/>
    <cellStyle name="Followed Hyperlink 106" xfId="443"/>
    <cellStyle name="Followed Hyperlink 107" xfId="444"/>
    <cellStyle name="Followed Hyperlink 108" xfId="449"/>
    <cellStyle name="Followed Hyperlink 109" xfId="451"/>
    <cellStyle name="Followed Hyperlink 11" xfId="251"/>
    <cellStyle name="Followed Hyperlink 110" xfId="453"/>
    <cellStyle name="Followed Hyperlink 111" xfId="455"/>
    <cellStyle name="Followed Hyperlink 112" xfId="457"/>
    <cellStyle name="Followed Hyperlink 113" xfId="459"/>
    <cellStyle name="Followed Hyperlink 114" xfId="461"/>
    <cellStyle name="Followed Hyperlink 115" xfId="463"/>
    <cellStyle name="Followed Hyperlink 116" xfId="465"/>
    <cellStyle name="Followed Hyperlink 117" xfId="467"/>
    <cellStyle name="Followed Hyperlink 118" xfId="469"/>
    <cellStyle name="Followed Hyperlink 119" xfId="471"/>
    <cellStyle name="Followed Hyperlink 12" xfId="253"/>
    <cellStyle name="Followed Hyperlink 120" xfId="473"/>
    <cellStyle name="Followed Hyperlink 121" xfId="475"/>
    <cellStyle name="Followed Hyperlink 122" xfId="477"/>
    <cellStyle name="Followed Hyperlink 123" xfId="479"/>
    <cellStyle name="Followed Hyperlink 124" xfId="481"/>
    <cellStyle name="Followed Hyperlink 125" xfId="483"/>
    <cellStyle name="Followed Hyperlink 126" xfId="485"/>
    <cellStyle name="Followed Hyperlink 127" xfId="487"/>
    <cellStyle name="Followed Hyperlink 128" xfId="489"/>
    <cellStyle name="Followed Hyperlink 129" xfId="491"/>
    <cellStyle name="Followed Hyperlink 13" xfId="255"/>
    <cellStyle name="Followed Hyperlink 130" xfId="493"/>
    <cellStyle name="Followed Hyperlink 131" xfId="495"/>
    <cellStyle name="Followed Hyperlink 132" xfId="497"/>
    <cellStyle name="Followed Hyperlink 133" xfId="499"/>
    <cellStyle name="Followed Hyperlink 134" xfId="501"/>
    <cellStyle name="Followed Hyperlink 135" xfId="503"/>
    <cellStyle name="Followed Hyperlink 136" xfId="505"/>
    <cellStyle name="Followed Hyperlink 137" xfId="507"/>
    <cellStyle name="Followed Hyperlink 138" xfId="509"/>
    <cellStyle name="Followed Hyperlink 139" xfId="511"/>
    <cellStyle name="Followed Hyperlink 14" xfId="257"/>
    <cellStyle name="Followed Hyperlink 140" xfId="513"/>
    <cellStyle name="Followed Hyperlink 141" xfId="515"/>
    <cellStyle name="Followed Hyperlink 142" xfId="517"/>
    <cellStyle name="Followed Hyperlink 143" xfId="519"/>
    <cellStyle name="Followed Hyperlink 144" xfId="521"/>
    <cellStyle name="Followed Hyperlink 145" xfId="523"/>
    <cellStyle name="Followed Hyperlink 146" xfId="525"/>
    <cellStyle name="Followed Hyperlink 147" xfId="527"/>
    <cellStyle name="Followed Hyperlink 148" xfId="529"/>
    <cellStyle name="Followed Hyperlink 149" xfId="531"/>
    <cellStyle name="Followed Hyperlink 15" xfId="259"/>
    <cellStyle name="Followed Hyperlink 150" xfId="533"/>
    <cellStyle name="Followed Hyperlink 151" xfId="535"/>
    <cellStyle name="Followed Hyperlink 152" xfId="537"/>
    <cellStyle name="Followed Hyperlink 153" xfId="539"/>
    <cellStyle name="Followed Hyperlink 154" xfId="541"/>
    <cellStyle name="Followed Hyperlink 155" xfId="543"/>
    <cellStyle name="Followed Hyperlink 156" xfId="545"/>
    <cellStyle name="Followed Hyperlink 157" xfId="547"/>
    <cellStyle name="Followed Hyperlink 158" xfId="549"/>
    <cellStyle name="Followed Hyperlink 159" xfId="551"/>
    <cellStyle name="Followed Hyperlink 16" xfId="261"/>
    <cellStyle name="Followed Hyperlink 160" xfId="553"/>
    <cellStyle name="Followed Hyperlink 161" xfId="555"/>
    <cellStyle name="Followed Hyperlink 162" xfId="557"/>
    <cellStyle name="Followed Hyperlink 163" xfId="559"/>
    <cellStyle name="Followed Hyperlink 164" xfId="561"/>
    <cellStyle name="Followed Hyperlink 165" xfId="563"/>
    <cellStyle name="Followed Hyperlink 166" xfId="565"/>
    <cellStyle name="Followed Hyperlink 167" xfId="567"/>
    <cellStyle name="Followed Hyperlink 168" xfId="569"/>
    <cellStyle name="Followed Hyperlink 169" xfId="571"/>
    <cellStyle name="Followed Hyperlink 17" xfId="263"/>
    <cellStyle name="Followed Hyperlink 170" xfId="573"/>
    <cellStyle name="Followed Hyperlink 171" xfId="575"/>
    <cellStyle name="Followed Hyperlink 172" xfId="577"/>
    <cellStyle name="Followed Hyperlink 173" xfId="579"/>
    <cellStyle name="Followed Hyperlink 174" xfId="581"/>
    <cellStyle name="Followed Hyperlink 175" xfId="583"/>
    <cellStyle name="Followed Hyperlink 176" xfId="585"/>
    <cellStyle name="Followed Hyperlink 177" xfId="587"/>
    <cellStyle name="Followed Hyperlink 178" xfId="589"/>
    <cellStyle name="Followed Hyperlink 179" xfId="591"/>
    <cellStyle name="Followed Hyperlink 18" xfId="265"/>
    <cellStyle name="Followed Hyperlink 180" xfId="593"/>
    <cellStyle name="Followed Hyperlink 181" xfId="595"/>
    <cellStyle name="Followed Hyperlink 182" xfId="597"/>
    <cellStyle name="Followed Hyperlink 183" xfId="599"/>
    <cellStyle name="Followed Hyperlink 184" xfId="601"/>
    <cellStyle name="Followed Hyperlink 185" xfId="603"/>
    <cellStyle name="Followed Hyperlink 186" xfId="605"/>
    <cellStyle name="Followed Hyperlink 187" xfId="607"/>
    <cellStyle name="Followed Hyperlink 188" xfId="609"/>
    <cellStyle name="Followed Hyperlink 189" xfId="611"/>
    <cellStyle name="Followed Hyperlink 19" xfId="267"/>
    <cellStyle name="Followed Hyperlink 190" xfId="613"/>
    <cellStyle name="Followed Hyperlink 191" xfId="615"/>
    <cellStyle name="Followed Hyperlink 192" xfId="617"/>
    <cellStyle name="Followed Hyperlink 193" xfId="619"/>
    <cellStyle name="Followed Hyperlink 194" xfId="621"/>
    <cellStyle name="Followed Hyperlink 195" xfId="623"/>
    <cellStyle name="Followed Hyperlink 196" xfId="625"/>
    <cellStyle name="Followed Hyperlink 197" xfId="627"/>
    <cellStyle name="Followed Hyperlink 198" xfId="629"/>
    <cellStyle name="Followed Hyperlink 199" xfId="631"/>
    <cellStyle name="Followed Hyperlink 2" xfId="233"/>
    <cellStyle name="Followed Hyperlink 20" xfId="269"/>
    <cellStyle name="Followed Hyperlink 200" xfId="633"/>
    <cellStyle name="Followed Hyperlink 201" xfId="635"/>
    <cellStyle name="Followed Hyperlink 202" xfId="637"/>
    <cellStyle name="Followed Hyperlink 203" xfId="639"/>
    <cellStyle name="Followed Hyperlink 204" xfId="641"/>
    <cellStyle name="Followed Hyperlink 205" xfId="643"/>
    <cellStyle name="Followed Hyperlink 206" xfId="645"/>
    <cellStyle name="Followed Hyperlink 207" xfId="647"/>
    <cellStyle name="Followed Hyperlink 208" xfId="649"/>
    <cellStyle name="Followed Hyperlink 209" xfId="651"/>
    <cellStyle name="Followed Hyperlink 21" xfId="271"/>
    <cellStyle name="Followed Hyperlink 210" xfId="653"/>
    <cellStyle name="Followed Hyperlink 211" xfId="654"/>
    <cellStyle name="Followed Hyperlink 212" xfId="655"/>
    <cellStyle name="Followed Hyperlink 213" xfId="656"/>
    <cellStyle name="Followed Hyperlink 22" xfId="273"/>
    <cellStyle name="Followed Hyperlink 23" xfId="275"/>
    <cellStyle name="Followed Hyperlink 24" xfId="277"/>
    <cellStyle name="Followed Hyperlink 25" xfId="279"/>
    <cellStyle name="Followed Hyperlink 26" xfId="281"/>
    <cellStyle name="Followed Hyperlink 27" xfId="283"/>
    <cellStyle name="Followed Hyperlink 28" xfId="285"/>
    <cellStyle name="Followed Hyperlink 29" xfId="287"/>
    <cellStyle name="Followed Hyperlink 3" xfId="235"/>
    <cellStyle name="Followed Hyperlink 30" xfId="289"/>
    <cellStyle name="Followed Hyperlink 31" xfId="291"/>
    <cellStyle name="Followed Hyperlink 32" xfId="293"/>
    <cellStyle name="Followed Hyperlink 33" xfId="295"/>
    <cellStyle name="Followed Hyperlink 34" xfId="297"/>
    <cellStyle name="Followed Hyperlink 35" xfId="299"/>
    <cellStyle name="Followed Hyperlink 36" xfId="301"/>
    <cellStyle name="Followed Hyperlink 37" xfId="303"/>
    <cellStyle name="Followed Hyperlink 38" xfId="305"/>
    <cellStyle name="Followed Hyperlink 39" xfId="307"/>
    <cellStyle name="Followed Hyperlink 4" xfId="237"/>
    <cellStyle name="Followed Hyperlink 40" xfId="309"/>
    <cellStyle name="Followed Hyperlink 41" xfId="311"/>
    <cellStyle name="Followed Hyperlink 42" xfId="313"/>
    <cellStyle name="Followed Hyperlink 43" xfId="315"/>
    <cellStyle name="Followed Hyperlink 44" xfId="317"/>
    <cellStyle name="Followed Hyperlink 45" xfId="319"/>
    <cellStyle name="Followed Hyperlink 46" xfId="321"/>
    <cellStyle name="Followed Hyperlink 47" xfId="323"/>
    <cellStyle name="Followed Hyperlink 48" xfId="325"/>
    <cellStyle name="Followed Hyperlink 49" xfId="327"/>
    <cellStyle name="Followed Hyperlink 5" xfId="239"/>
    <cellStyle name="Followed Hyperlink 50" xfId="329"/>
    <cellStyle name="Followed Hyperlink 51" xfId="331"/>
    <cellStyle name="Followed Hyperlink 52" xfId="333"/>
    <cellStyle name="Followed Hyperlink 53" xfId="335"/>
    <cellStyle name="Followed Hyperlink 54" xfId="337"/>
    <cellStyle name="Followed Hyperlink 55" xfId="339"/>
    <cellStyle name="Followed Hyperlink 56" xfId="341"/>
    <cellStyle name="Followed Hyperlink 57" xfId="343"/>
    <cellStyle name="Followed Hyperlink 58" xfId="345"/>
    <cellStyle name="Followed Hyperlink 59" xfId="347"/>
    <cellStyle name="Followed Hyperlink 6" xfId="241"/>
    <cellStyle name="Followed Hyperlink 60" xfId="349"/>
    <cellStyle name="Followed Hyperlink 61" xfId="351"/>
    <cellStyle name="Followed Hyperlink 62" xfId="353"/>
    <cellStyle name="Followed Hyperlink 63" xfId="355"/>
    <cellStyle name="Followed Hyperlink 64" xfId="357"/>
    <cellStyle name="Followed Hyperlink 65" xfId="359"/>
    <cellStyle name="Followed Hyperlink 66" xfId="361"/>
    <cellStyle name="Followed Hyperlink 67" xfId="363"/>
    <cellStyle name="Followed Hyperlink 68" xfId="365"/>
    <cellStyle name="Followed Hyperlink 69" xfId="367"/>
    <cellStyle name="Followed Hyperlink 7" xfId="243"/>
    <cellStyle name="Followed Hyperlink 70" xfId="369"/>
    <cellStyle name="Followed Hyperlink 71" xfId="371"/>
    <cellStyle name="Followed Hyperlink 72" xfId="373"/>
    <cellStyle name="Followed Hyperlink 73" xfId="375"/>
    <cellStyle name="Followed Hyperlink 74" xfId="377"/>
    <cellStyle name="Followed Hyperlink 75" xfId="379"/>
    <cellStyle name="Followed Hyperlink 76" xfId="381"/>
    <cellStyle name="Followed Hyperlink 77" xfId="383"/>
    <cellStyle name="Followed Hyperlink 78" xfId="385"/>
    <cellStyle name="Followed Hyperlink 79" xfId="387"/>
    <cellStyle name="Followed Hyperlink 8" xfId="245"/>
    <cellStyle name="Followed Hyperlink 80" xfId="389"/>
    <cellStyle name="Followed Hyperlink 81" xfId="391"/>
    <cellStyle name="Followed Hyperlink 82" xfId="393"/>
    <cellStyle name="Followed Hyperlink 83" xfId="395"/>
    <cellStyle name="Followed Hyperlink 84" xfId="397"/>
    <cellStyle name="Followed Hyperlink 85" xfId="399"/>
    <cellStyle name="Followed Hyperlink 86" xfId="401"/>
    <cellStyle name="Followed Hyperlink 87" xfId="403"/>
    <cellStyle name="Followed Hyperlink 88" xfId="405"/>
    <cellStyle name="Followed Hyperlink 89" xfId="407"/>
    <cellStyle name="Followed Hyperlink 9" xfId="247"/>
    <cellStyle name="Followed Hyperlink 90" xfId="409"/>
    <cellStyle name="Followed Hyperlink 91" xfId="411"/>
    <cellStyle name="Followed Hyperlink 92" xfId="413"/>
    <cellStyle name="Followed Hyperlink 93" xfId="415"/>
    <cellStyle name="Followed Hyperlink 94" xfId="417"/>
    <cellStyle name="Followed Hyperlink 95" xfId="419"/>
    <cellStyle name="Followed Hyperlink 96" xfId="421"/>
    <cellStyle name="Followed Hyperlink 97" xfId="423"/>
    <cellStyle name="Followed Hyperlink 98" xfId="425"/>
    <cellStyle name="Followed Hyperlink 99" xfId="427"/>
    <cellStyle name="Good" xfId="217" builtinId="26"/>
    <cellStyle name="Heading 1 2" xfId="228"/>
    <cellStyle name="Heading 2 2" xfId="229"/>
    <cellStyle name="Heading 3 2" xfId="230"/>
    <cellStyle name="Heading 4 2" xfId="23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725" builtinId="8"/>
    <cellStyle name="Normal" xfId="0" builtinId="0"/>
    <cellStyle name="Normal 10" xfId="689"/>
    <cellStyle name="Normal 11" xfId="727"/>
    <cellStyle name="Normal 11 2" xfId="795"/>
    <cellStyle name="Normal 11 2 2" xfId="932"/>
    <cellStyle name="Normal 11 2 2 2" xfId="1207"/>
    <cellStyle name="Normal 11 2 2 2 2" xfId="1759"/>
    <cellStyle name="Normal 11 2 2 2 2 2" xfId="2855"/>
    <cellStyle name="Normal 11 2 2 2 2 2 2" xfId="5048"/>
    <cellStyle name="Normal 11 2 2 2 2 3" xfId="3952"/>
    <cellStyle name="Normal 11 2 2 2 3" xfId="2307"/>
    <cellStyle name="Normal 11 2 2 2 3 2" xfId="4500"/>
    <cellStyle name="Normal 11 2 2 2 4" xfId="3404"/>
    <cellStyle name="Normal 11 2 2 3" xfId="1485"/>
    <cellStyle name="Normal 11 2 2 3 2" xfId="2581"/>
    <cellStyle name="Normal 11 2 2 3 2 2" xfId="4774"/>
    <cellStyle name="Normal 11 2 2 3 3" xfId="3678"/>
    <cellStyle name="Normal 11 2 2 4" xfId="2033"/>
    <cellStyle name="Normal 11 2 2 4 2" xfId="4226"/>
    <cellStyle name="Normal 11 2 2 5" xfId="3130"/>
    <cellStyle name="Normal 11 2 3" xfId="1070"/>
    <cellStyle name="Normal 11 2 3 2" xfId="1622"/>
    <cellStyle name="Normal 11 2 3 2 2" xfId="2718"/>
    <cellStyle name="Normal 11 2 3 2 2 2" xfId="4911"/>
    <cellStyle name="Normal 11 2 3 2 3" xfId="3815"/>
    <cellStyle name="Normal 11 2 3 3" xfId="2170"/>
    <cellStyle name="Normal 11 2 3 3 2" xfId="4363"/>
    <cellStyle name="Normal 11 2 3 4" xfId="3267"/>
    <cellStyle name="Normal 11 2 4" xfId="1348"/>
    <cellStyle name="Normal 11 2 4 2" xfId="2444"/>
    <cellStyle name="Normal 11 2 4 2 2" xfId="4637"/>
    <cellStyle name="Normal 11 2 4 3" xfId="3541"/>
    <cellStyle name="Normal 11 2 5" xfId="1896"/>
    <cellStyle name="Normal 11 2 5 2" xfId="4089"/>
    <cellStyle name="Normal 11 2 6" xfId="2993"/>
    <cellStyle name="Normal 11 3" xfId="864"/>
    <cellStyle name="Normal 11 3 2" xfId="1139"/>
    <cellStyle name="Normal 11 3 2 2" xfId="1691"/>
    <cellStyle name="Normal 11 3 2 2 2" xfId="2787"/>
    <cellStyle name="Normal 11 3 2 2 2 2" xfId="4980"/>
    <cellStyle name="Normal 11 3 2 2 3" xfId="3884"/>
    <cellStyle name="Normal 11 3 2 3" xfId="2239"/>
    <cellStyle name="Normal 11 3 2 3 2" xfId="4432"/>
    <cellStyle name="Normal 11 3 2 4" xfId="3336"/>
    <cellStyle name="Normal 11 3 3" xfId="1417"/>
    <cellStyle name="Normal 11 3 3 2" xfId="2513"/>
    <cellStyle name="Normal 11 3 3 2 2" xfId="4706"/>
    <cellStyle name="Normal 11 3 3 3" xfId="3610"/>
    <cellStyle name="Normal 11 3 4" xfId="1965"/>
    <cellStyle name="Normal 11 3 4 2" xfId="4158"/>
    <cellStyle name="Normal 11 3 5" xfId="3062"/>
    <cellStyle name="Normal 11 4" xfId="1002"/>
    <cellStyle name="Normal 11 4 2" xfId="1554"/>
    <cellStyle name="Normal 11 4 2 2" xfId="2650"/>
    <cellStyle name="Normal 11 4 2 2 2" xfId="4843"/>
    <cellStyle name="Normal 11 4 2 3" xfId="3747"/>
    <cellStyle name="Normal 11 4 3" xfId="2102"/>
    <cellStyle name="Normal 11 4 3 2" xfId="4295"/>
    <cellStyle name="Normal 11 4 4" xfId="3199"/>
    <cellStyle name="Normal 11 5" xfId="1280"/>
    <cellStyle name="Normal 11 5 2" xfId="2376"/>
    <cellStyle name="Normal 11 5 2 2" xfId="4569"/>
    <cellStyle name="Normal 11 5 3" xfId="3473"/>
    <cellStyle name="Normal 11 6" xfId="1828"/>
    <cellStyle name="Normal 11 6 2" xfId="4021"/>
    <cellStyle name="Normal 11 7" xfId="2925"/>
    <cellStyle name="Normal 146" xfId="2859"/>
    <cellStyle name="Normal 2" xfId="211"/>
    <cellStyle name="Normal 3" xfId="210"/>
    <cellStyle name="Normal 4" xfId="216"/>
    <cellStyle name="Normal 5" xfId="218"/>
    <cellStyle name="Normal 5 10" xfId="937"/>
    <cellStyle name="Normal 5 10 2" xfId="1489"/>
    <cellStyle name="Normal 5 10 2 2" xfId="2585"/>
    <cellStyle name="Normal 5 10 2 2 2" xfId="4778"/>
    <cellStyle name="Normal 5 10 2 3" xfId="3682"/>
    <cellStyle name="Normal 5 10 3" xfId="2037"/>
    <cellStyle name="Normal 5 10 3 2" xfId="4230"/>
    <cellStyle name="Normal 5 10 4" xfId="3134"/>
    <cellStyle name="Normal 5 11" xfId="1215"/>
    <cellStyle name="Normal 5 11 2" xfId="2311"/>
    <cellStyle name="Normal 5 11 2 2" xfId="4504"/>
    <cellStyle name="Normal 5 11 3" xfId="3408"/>
    <cellStyle name="Normal 5 12" xfId="1763"/>
    <cellStyle name="Normal 5 12 2" xfId="3956"/>
    <cellStyle name="Normal 5 13" xfId="2860"/>
    <cellStyle name="Normal 5 2" xfId="219"/>
    <cellStyle name="Normal 5 3" xfId="223"/>
    <cellStyle name="Normal 5 3 10" xfId="1764"/>
    <cellStyle name="Normal 5 3 10 2" xfId="3957"/>
    <cellStyle name="Normal 5 3 11" xfId="2861"/>
    <cellStyle name="Normal 5 3 2" xfId="446"/>
    <cellStyle name="Normal 5 3 2 10" xfId="2866"/>
    <cellStyle name="Normal 5 3 2 2" xfId="666"/>
    <cellStyle name="Normal 5 3 2 2 2" xfId="686"/>
    <cellStyle name="Normal 5 3 2 2 2 2" xfId="722"/>
    <cellStyle name="Normal 5 3 2 2 2 2 2" xfId="792"/>
    <cellStyle name="Normal 5 3 2 2 2 2 2 2" xfId="929"/>
    <cellStyle name="Normal 5 3 2 2 2 2 2 2 2" xfId="1204"/>
    <cellStyle name="Normal 5 3 2 2 2 2 2 2 2 2" xfId="1756"/>
    <cellStyle name="Normal 5 3 2 2 2 2 2 2 2 2 2" xfId="2852"/>
    <cellStyle name="Normal 5 3 2 2 2 2 2 2 2 2 2 2" xfId="5045"/>
    <cellStyle name="Normal 5 3 2 2 2 2 2 2 2 2 3" xfId="3949"/>
    <cellStyle name="Normal 5 3 2 2 2 2 2 2 2 3" xfId="2304"/>
    <cellStyle name="Normal 5 3 2 2 2 2 2 2 2 3 2" xfId="4497"/>
    <cellStyle name="Normal 5 3 2 2 2 2 2 2 2 4" xfId="3401"/>
    <cellStyle name="Normal 5 3 2 2 2 2 2 2 3" xfId="1482"/>
    <cellStyle name="Normal 5 3 2 2 2 2 2 2 3 2" xfId="2578"/>
    <cellStyle name="Normal 5 3 2 2 2 2 2 2 3 2 2" xfId="4771"/>
    <cellStyle name="Normal 5 3 2 2 2 2 2 2 3 3" xfId="3675"/>
    <cellStyle name="Normal 5 3 2 2 2 2 2 2 4" xfId="2030"/>
    <cellStyle name="Normal 5 3 2 2 2 2 2 2 4 2" xfId="4223"/>
    <cellStyle name="Normal 5 3 2 2 2 2 2 2 5" xfId="3127"/>
    <cellStyle name="Normal 5 3 2 2 2 2 2 3" xfId="1067"/>
    <cellStyle name="Normal 5 3 2 2 2 2 2 3 2" xfId="1619"/>
    <cellStyle name="Normal 5 3 2 2 2 2 2 3 2 2" xfId="2715"/>
    <cellStyle name="Normal 5 3 2 2 2 2 2 3 2 2 2" xfId="4908"/>
    <cellStyle name="Normal 5 3 2 2 2 2 2 3 2 3" xfId="3812"/>
    <cellStyle name="Normal 5 3 2 2 2 2 2 3 3" xfId="2167"/>
    <cellStyle name="Normal 5 3 2 2 2 2 2 3 3 2" xfId="4360"/>
    <cellStyle name="Normal 5 3 2 2 2 2 2 3 4" xfId="3264"/>
    <cellStyle name="Normal 5 3 2 2 2 2 2 4" xfId="1345"/>
    <cellStyle name="Normal 5 3 2 2 2 2 2 4 2" xfId="2441"/>
    <cellStyle name="Normal 5 3 2 2 2 2 2 4 2 2" xfId="4634"/>
    <cellStyle name="Normal 5 3 2 2 2 2 2 4 3" xfId="3538"/>
    <cellStyle name="Normal 5 3 2 2 2 2 2 5" xfId="1893"/>
    <cellStyle name="Normal 5 3 2 2 2 2 2 5 2" xfId="4086"/>
    <cellStyle name="Normal 5 3 2 2 2 2 2 6" xfId="2990"/>
    <cellStyle name="Normal 5 3 2 2 2 2 3" xfId="861"/>
    <cellStyle name="Normal 5 3 2 2 2 2 3 2" xfId="1136"/>
    <cellStyle name="Normal 5 3 2 2 2 2 3 2 2" xfId="1688"/>
    <cellStyle name="Normal 5 3 2 2 2 2 3 2 2 2" xfId="2784"/>
    <cellStyle name="Normal 5 3 2 2 2 2 3 2 2 2 2" xfId="4977"/>
    <cellStyle name="Normal 5 3 2 2 2 2 3 2 2 3" xfId="3881"/>
    <cellStyle name="Normal 5 3 2 2 2 2 3 2 3" xfId="2236"/>
    <cellStyle name="Normal 5 3 2 2 2 2 3 2 3 2" xfId="4429"/>
    <cellStyle name="Normal 5 3 2 2 2 2 3 2 4" xfId="3333"/>
    <cellStyle name="Normal 5 3 2 2 2 2 3 3" xfId="1414"/>
    <cellStyle name="Normal 5 3 2 2 2 2 3 3 2" xfId="2510"/>
    <cellStyle name="Normal 5 3 2 2 2 2 3 3 2 2" xfId="4703"/>
    <cellStyle name="Normal 5 3 2 2 2 2 3 3 3" xfId="3607"/>
    <cellStyle name="Normal 5 3 2 2 2 2 3 4" xfId="1962"/>
    <cellStyle name="Normal 5 3 2 2 2 2 3 4 2" xfId="4155"/>
    <cellStyle name="Normal 5 3 2 2 2 2 3 5" xfId="3059"/>
    <cellStyle name="Normal 5 3 2 2 2 2 4" xfId="999"/>
    <cellStyle name="Normal 5 3 2 2 2 2 4 2" xfId="1551"/>
    <cellStyle name="Normal 5 3 2 2 2 2 4 2 2" xfId="2647"/>
    <cellStyle name="Normal 5 3 2 2 2 2 4 2 2 2" xfId="4840"/>
    <cellStyle name="Normal 5 3 2 2 2 2 4 2 3" xfId="3744"/>
    <cellStyle name="Normal 5 3 2 2 2 2 4 3" xfId="2099"/>
    <cellStyle name="Normal 5 3 2 2 2 2 4 3 2" xfId="4292"/>
    <cellStyle name="Normal 5 3 2 2 2 2 4 4" xfId="3196"/>
    <cellStyle name="Normal 5 3 2 2 2 2 5" xfId="1277"/>
    <cellStyle name="Normal 5 3 2 2 2 2 5 2" xfId="2373"/>
    <cellStyle name="Normal 5 3 2 2 2 2 5 2 2" xfId="4566"/>
    <cellStyle name="Normal 5 3 2 2 2 2 5 3" xfId="3470"/>
    <cellStyle name="Normal 5 3 2 2 2 2 6" xfId="1825"/>
    <cellStyle name="Normal 5 3 2 2 2 2 6 2" xfId="4018"/>
    <cellStyle name="Normal 5 3 2 2 2 2 7" xfId="2922"/>
    <cellStyle name="Normal 5 3 2 2 2 3" xfId="760"/>
    <cellStyle name="Normal 5 3 2 2 2 3 2" xfId="897"/>
    <cellStyle name="Normal 5 3 2 2 2 3 2 2" xfId="1172"/>
    <cellStyle name="Normal 5 3 2 2 2 3 2 2 2" xfId="1724"/>
    <cellStyle name="Normal 5 3 2 2 2 3 2 2 2 2" xfId="2820"/>
    <cellStyle name="Normal 5 3 2 2 2 3 2 2 2 2 2" xfId="5013"/>
    <cellStyle name="Normal 5 3 2 2 2 3 2 2 2 3" xfId="3917"/>
    <cellStyle name="Normal 5 3 2 2 2 3 2 2 3" xfId="2272"/>
    <cellStyle name="Normal 5 3 2 2 2 3 2 2 3 2" xfId="4465"/>
    <cellStyle name="Normal 5 3 2 2 2 3 2 2 4" xfId="3369"/>
    <cellStyle name="Normal 5 3 2 2 2 3 2 3" xfId="1450"/>
    <cellStyle name="Normal 5 3 2 2 2 3 2 3 2" xfId="2546"/>
    <cellStyle name="Normal 5 3 2 2 2 3 2 3 2 2" xfId="4739"/>
    <cellStyle name="Normal 5 3 2 2 2 3 2 3 3" xfId="3643"/>
    <cellStyle name="Normal 5 3 2 2 2 3 2 4" xfId="1998"/>
    <cellStyle name="Normal 5 3 2 2 2 3 2 4 2" xfId="4191"/>
    <cellStyle name="Normal 5 3 2 2 2 3 2 5" xfId="3095"/>
    <cellStyle name="Normal 5 3 2 2 2 3 3" xfId="1035"/>
    <cellStyle name="Normal 5 3 2 2 2 3 3 2" xfId="1587"/>
    <cellStyle name="Normal 5 3 2 2 2 3 3 2 2" xfId="2683"/>
    <cellStyle name="Normal 5 3 2 2 2 3 3 2 2 2" xfId="4876"/>
    <cellStyle name="Normal 5 3 2 2 2 3 3 2 3" xfId="3780"/>
    <cellStyle name="Normal 5 3 2 2 2 3 3 3" xfId="2135"/>
    <cellStyle name="Normal 5 3 2 2 2 3 3 3 2" xfId="4328"/>
    <cellStyle name="Normal 5 3 2 2 2 3 3 4" xfId="3232"/>
    <cellStyle name="Normal 5 3 2 2 2 3 4" xfId="1313"/>
    <cellStyle name="Normal 5 3 2 2 2 3 4 2" xfId="2409"/>
    <cellStyle name="Normal 5 3 2 2 2 3 4 2 2" xfId="4602"/>
    <cellStyle name="Normal 5 3 2 2 2 3 4 3" xfId="3506"/>
    <cellStyle name="Normal 5 3 2 2 2 3 5" xfId="1861"/>
    <cellStyle name="Normal 5 3 2 2 2 3 5 2" xfId="4054"/>
    <cellStyle name="Normal 5 3 2 2 2 3 6" xfId="2958"/>
    <cellStyle name="Normal 5 3 2 2 2 4" xfId="829"/>
    <cellStyle name="Normal 5 3 2 2 2 4 2" xfId="1104"/>
    <cellStyle name="Normal 5 3 2 2 2 4 2 2" xfId="1656"/>
    <cellStyle name="Normal 5 3 2 2 2 4 2 2 2" xfId="2752"/>
    <cellStyle name="Normal 5 3 2 2 2 4 2 2 2 2" xfId="4945"/>
    <cellStyle name="Normal 5 3 2 2 2 4 2 2 3" xfId="3849"/>
    <cellStyle name="Normal 5 3 2 2 2 4 2 3" xfId="2204"/>
    <cellStyle name="Normal 5 3 2 2 2 4 2 3 2" xfId="4397"/>
    <cellStyle name="Normal 5 3 2 2 2 4 2 4" xfId="3301"/>
    <cellStyle name="Normal 5 3 2 2 2 4 3" xfId="1382"/>
    <cellStyle name="Normal 5 3 2 2 2 4 3 2" xfId="2478"/>
    <cellStyle name="Normal 5 3 2 2 2 4 3 2 2" xfId="4671"/>
    <cellStyle name="Normal 5 3 2 2 2 4 3 3" xfId="3575"/>
    <cellStyle name="Normal 5 3 2 2 2 4 4" xfId="1930"/>
    <cellStyle name="Normal 5 3 2 2 2 4 4 2" xfId="4123"/>
    <cellStyle name="Normal 5 3 2 2 2 4 5" xfId="3027"/>
    <cellStyle name="Normal 5 3 2 2 2 5" xfId="967"/>
    <cellStyle name="Normal 5 3 2 2 2 5 2" xfId="1519"/>
    <cellStyle name="Normal 5 3 2 2 2 5 2 2" xfId="2615"/>
    <cellStyle name="Normal 5 3 2 2 2 5 2 2 2" xfId="4808"/>
    <cellStyle name="Normal 5 3 2 2 2 5 2 3" xfId="3712"/>
    <cellStyle name="Normal 5 3 2 2 2 5 3" xfId="2067"/>
    <cellStyle name="Normal 5 3 2 2 2 5 3 2" xfId="4260"/>
    <cellStyle name="Normal 5 3 2 2 2 5 4" xfId="3164"/>
    <cellStyle name="Normal 5 3 2 2 2 6" xfId="1245"/>
    <cellStyle name="Normal 5 3 2 2 2 6 2" xfId="2341"/>
    <cellStyle name="Normal 5 3 2 2 2 6 2 2" xfId="4534"/>
    <cellStyle name="Normal 5 3 2 2 2 6 3" xfId="3438"/>
    <cellStyle name="Normal 5 3 2 2 2 7" xfId="1793"/>
    <cellStyle name="Normal 5 3 2 2 2 7 2" xfId="3986"/>
    <cellStyle name="Normal 5 3 2 2 2 8" xfId="2890"/>
    <cellStyle name="Normal 5 3 2 2 3" xfId="706"/>
    <cellStyle name="Normal 5 3 2 2 3 2" xfId="776"/>
    <cellStyle name="Normal 5 3 2 2 3 2 2" xfId="913"/>
    <cellStyle name="Normal 5 3 2 2 3 2 2 2" xfId="1188"/>
    <cellStyle name="Normal 5 3 2 2 3 2 2 2 2" xfId="1740"/>
    <cellStyle name="Normal 5 3 2 2 3 2 2 2 2 2" xfId="2836"/>
    <cellStyle name="Normal 5 3 2 2 3 2 2 2 2 2 2" xfId="5029"/>
    <cellStyle name="Normal 5 3 2 2 3 2 2 2 2 3" xfId="3933"/>
    <cellStyle name="Normal 5 3 2 2 3 2 2 2 3" xfId="2288"/>
    <cellStyle name="Normal 5 3 2 2 3 2 2 2 3 2" xfId="4481"/>
    <cellStyle name="Normal 5 3 2 2 3 2 2 2 4" xfId="3385"/>
    <cellStyle name="Normal 5 3 2 2 3 2 2 3" xfId="1466"/>
    <cellStyle name="Normal 5 3 2 2 3 2 2 3 2" xfId="2562"/>
    <cellStyle name="Normal 5 3 2 2 3 2 2 3 2 2" xfId="4755"/>
    <cellStyle name="Normal 5 3 2 2 3 2 2 3 3" xfId="3659"/>
    <cellStyle name="Normal 5 3 2 2 3 2 2 4" xfId="2014"/>
    <cellStyle name="Normal 5 3 2 2 3 2 2 4 2" xfId="4207"/>
    <cellStyle name="Normal 5 3 2 2 3 2 2 5" xfId="3111"/>
    <cellStyle name="Normal 5 3 2 2 3 2 3" xfId="1051"/>
    <cellStyle name="Normal 5 3 2 2 3 2 3 2" xfId="1603"/>
    <cellStyle name="Normal 5 3 2 2 3 2 3 2 2" xfId="2699"/>
    <cellStyle name="Normal 5 3 2 2 3 2 3 2 2 2" xfId="4892"/>
    <cellStyle name="Normal 5 3 2 2 3 2 3 2 3" xfId="3796"/>
    <cellStyle name="Normal 5 3 2 2 3 2 3 3" xfId="2151"/>
    <cellStyle name="Normal 5 3 2 2 3 2 3 3 2" xfId="4344"/>
    <cellStyle name="Normal 5 3 2 2 3 2 3 4" xfId="3248"/>
    <cellStyle name="Normal 5 3 2 2 3 2 4" xfId="1329"/>
    <cellStyle name="Normal 5 3 2 2 3 2 4 2" xfId="2425"/>
    <cellStyle name="Normal 5 3 2 2 3 2 4 2 2" xfId="4618"/>
    <cellStyle name="Normal 5 3 2 2 3 2 4 3" xfId="3522"/>
    <cellStyle name="Normal 5 3 2 2 3 2 5" xfId="1877"/>
    <cellStyle name="Normal 5 3 2 2 3 2 5 2" xfId="4070"/>
    <cellStyle name="Normal 5 3 2 2 3 2 6" xfId="2974"/>
    <cellStyle name="Normal 5 3 2 2 3 3" xfId="845"/>
    <cellStyle name="Normal 5 3 2 2 3 3 2" xfId="1120"/>
    <cellStyle name="Normal 5 3 2 2 3 3 2 2" xfId="1672"/>
    <cellStyle name="Normal 5 3 2 2 3 3 2 2 2" xfId="2768"/>
    <cellStyle name="Normal 5 3 2 2 3 3 2 2 2 2" xfId="4961"/>
    <cellStyle name="Normal 5 3 2 2 3 3 2 2 3" xfId="3865"/>
    <cellStyle name="Normal 5 3 2 2 3 3 2 3" xfId="2220"/>
    <cellStyle name="Normal 5 3 2 2 3 3 2 3 2" xfId="4413"/>
    <cellStyle name="Normal 5 3 2 2 3 3 2 4" xfId="3317"/>
    <cellStyle name="Normal 5 3 2 2 3 3 3" xfId="1398"/>
    <cellStyle name="Normal 5 3 2 2 3 3 3 2" xfId="2494"/>
    <cellStyle name="Normal 5 3 2 2 3 3 3 2 2" xfId="4687"/>
    <cellStyle name="Normal 5 3 2 2 3 3 3 3" xfId="3591"/>
    <cellStyle name="Normal 5 3 2 2 3 3 4" xfId="1946"/>
    <cellStyle name="Normal 5 3 2 2 3 3 4 2" xfId="4139"/>
    <cellStyle name="Normal 5 3 2 2 3 3 5" xfId="3043"/>
    <cellStyle name="Normal 5 3 2 2 3 4" xfId="983"/>
    <cellStyle name="Normal 5 3 2 2 3 4 2" xfId="1535"/>
    <cellStyle name="Normal 5 3 2 2 3 4 2 2" xfId="2631"/>
    <cellStyle name="Normal 5 3 2 2 3 4 2 2 2" xfId="4824"/>
    <cellStyle name="Normal 5 3 2 2 3 4 2 3" xfId="3728"/>
    <cellStyle name="Normal 5 3 2 2 3 4 3" xfId="2083"/>
    <cellStyle name="Normal 5 3 2 2 3 4 3 2" xfId="4276"/>
    <cellStyle name="Normal 5 3 2 2 3 4 4" xfId="3180"/>
    <cellStyle name="Normal 5 3 2 2 3 5" xfId="1261"/>
    <cellStyle name="Normal 5 3 2 2 3 5 2" xfId="2357"/>
    <cellStyle name="Normal 5 3 2 2 3 5 2 2" xfId="4550"/>
    <cellStyle name="Normal 5 3 2 2 3 5 3" xfId="3454"/>
    <cellStyle name="Normal 5 3 2 2 3 6" xfId="1809"/>
    <cellStyle name="Normal 5 3 2 2 3 6 2" xfId="4002"/>
    <cellStyle name="Normal 5 3 2 2 3 7" xfId="2906"/>
    <cellStyle name="Normal 5 3 2 2 4" xfId="744"/>
    <cellStyle name="Normal 5 3 2 2 4 2" xfId="881"/>
    <cellStyle name="Normal 5 3 2 2 4 2 2" xfId="1156"/>
    <cellStyle name="Normal 5 3 2 2 4 2 2 2" xfId="1708"/>
    <cellStyle name="Normal 5 3 2 2 4 2 2 2 2" xfId="2804"/>
    <cellStyle name="Normal 5 3 2 2 4 2 2 2 2 2" xfId="4997"/>
    <cellStyle name="Normal 5 3 2 2 4 2 2 2 3" xfId="3901"/>
    <cellStyle name="Normal 5 3 2 2 4 2 2 3" xfId="2256"/>
    <cellStyle name="Normal 5 3 2 2 4 2 2 3 2" xfId="4449"/>
    <cellStyle name="Normal 5 3 2 2 4 2 2 4" xfId="3353"/>
    <cellStyle name="Normal 5 3 2 2 4 2 3" xfId="1434"/>
    <cellStyle name="Normal 5 3 2 2 4 2 3 2" xfId="2530"/>
    <cellStyle name="Normal 5 3 2 2 4 2 3 2 2" xfId="4723"/>
    <cellStyle name="Normal 5 3 2 2 4 2 3 3" xfId="3627"/>
    <cellStyle name="Normal 5 3 2 2 4 2 4" xfId="1982"/>
    <cellStyle name="Normal 5 3 2 2 4 2 4 2" xfId="4175"/>
    <cellStyle name="Normal 5 3 2 2 4 2 5" xfId="3079"/>
    <cellStyle name="Normal 5 3 2 2 4 3" xfId="1019"/>
    <cellStyle name="Normal 5 3 2 2 4 3 2" xfId="1571"/>
    <cellStyle name="Normal 5 3 2 2 4 3 2 2" xfId="2667"/>
    <cellStyle name="Normal 5 3 2 2 4 3 2 2 2" xfId="4860"/>
    <cellStyle name="Normal 5 3 2 2 4 3 2 3" xfId="3764"/>
    <cellStyle name="Normal 5 3 2 2 4 3 3" xfId="2119"/>
    <cellStyle name="Normal 5 3 2 2 4 3 3 2" xfId="4312"/>
    <cellStyle name="Normal 5 3 2 2 4 3 4" xfId="3216"/>
    <cellStyle name="Normal 5 3 2 2 4 4" xfId="1297"/>
    <cellStyle name="Normal 5 3 2 2 4 4 2" xfId="2393"/>
    <cellStyle name="Normal 5 3 2 2 4 4 2 2" xfId="4586"/>
    <cellStyle name="Normal 5 3 2 2 4 4 3" xfId="3490"/>
    <cellStyle name="Normal 5 3 2 2 4 5" xfId="1845"/>
    <cellStyle name="Normal 5 3 2 2 4 5 2" xfId="4038"/>
    <cellStyle name="Normal 5 3 2 2 4 6" xfId="2942"/>
    <cellStyle name="Normal 5 3 2 2 5" xfId="813"/>
    <cellStyle name="Normal 5 3 2 2 5 2" xfId="1088"/>
    <cellStyle name="Normal 5 3 2 2 5 2 2" xfId="1640"/>
    <cellStyle name="Normal 5 3 2 2 5 2 2 2" xfId="2736"/>
    <cellStyle name="Normal 5 3 2 2 5 2 2 2 2" xfId="4929"/>
    <cellStyle name="Normal 5 3 2 2 5 2 2 3" xfId="3833"/>
    <cellStyle name="Normal 5 3 2 2 5 2 3" xfId="2188"/>
    <cellStyle name="Normal 5 3 2 2 5 2 3 2" xfId="4381"/>
    <cellStyle name="Normal 5 3 2 2 5 2 4" xfId="3285"/>
    <cellStyle name="Normal 5 3 2 2 5 3" xfId="1366"/>
    <cellStyle name="Normal 5 3 2 2 5 3 2" xfId="2462"/>
    <cellStyle name="Normal 5 3 2 2 5 3 2 2" xfId="4655"/>
    <cellStyle name="Normal 5 3 2 2 5 3 3" xfId="3559"/>
    <cellStyle name="Normal 5 3 2 2 5 4" xfId="1914"/>
    <cellStyle name="Normal 5 3 2 2 5 4 2" xfId="4107"/>
    <cellStyle name="Normal 5 3 2 2 5 5" xfId="3011"/>
    <cellStyle name="Normal 5 3 2 2 6" xfId="951"/>
    <cellStyle name="Normal 5 3 2 2 6 2" xfId="1503"/>
    <cellStyle name="Normal 5 3 2 2 6 2 2" xfId="2599"/>
    <cellStyle name="Normal 5 3 2 2 6 2 2 2" xfId="4792"/>
    <cellStyle name="Normal 5 3 2 2 6 2 3" xfId="3696"/>
    <cellStyle name="Normal 5 3 2 2 6 3" xfId="2051"/>
    <cellStyle name="Normal 5 3 2 2 6 3 2" xfId="4244"/>
    <cellStyle name="Normal 5 3 2 2 6 4" xfId="3148"/>
    <cellStyle name="Normal 5 3 2 2 7" xfId="1229"/>
    <cellStyle name="Normal 5 3 2 2 7 2" xfId="2325"/>
    <cellStyle name="Normal 5 3 2 2 7 2 2" xfId="4518"/>
    <cellStyle name="Normal 5 3 2 2 7 3" xfId="3422"/>
    <cellStyle name="Normal 5 3 2 2 8" xfId="1777"/>
    <cellStyle name="Normal 5 3 2 2 8 2" xfId="3970"/>
    <cellStyle name="Normal 5 3 2 2 9" xfId="2874"/>
    <cellStyle name="Normal 5 3 2 3" xfId="678"/>
    <cellStyle name="Normal 5 3 2 3 2" xfId="714"/>
    <cellStyle name="Normal 5 3 2 3 2 2" xfId="784"/>
    <cellStyle name="Normal 5 3 2 3 2 2 2" xfId="921"/>
    <cellStyle name="Normal 5 3 2 3 2 2 2 2" xfId="1196"/>
    <cellStyle name="Normal 5 3 2 3 2 2 2 2 2" xfId="1748"/>
    <cellStyle name="Normal 5 3 2 3 2 2 2 2 2 2" xfId="2844"/>
    <cellStyle name="Normal 5 3 2 3 2 2 2 2 2 2 2" xfId="5037"/>
    <cellStyle name="Normal 5 3 2 3 2 2 2 2 2 3" xfId="3941"/>
    <cellStyle name="Normal 5 3 2 3 2 2 2 2 3" xfId="2296"/>
    <cellStyle name="Normal 5 3 2 3 2 2 2 2 3 2" xfId="4489"/>
    <cellStyle name="Normal 5 3 2 3 2 2 2 2 4" xfId="3393"/>
    <cellStyle name="Normal 5 3 2 3 2 2 2 3" xfId="1474"/>
    <cellStyle name="Normal 5 3 2 3 2 2 2 3 2" xfId="2570"/>
    <cellStyle name="Normal 5 3 2 3 2 2 2 3 2 2" xfId="4763"/>
    <cellStyle name="Normal 5 3 2 3 2 2 2 3 3" xfId="3667"/>
    <cellStyle name="Normal 5 3 2 3 2 2 2 4" xfId="2022"/>
    <cellStyle name="Normal 5 3 2 3 2 2 2 4 2" xfId="4215"/>
    <cellStyle name="Normal 5 3 2 3 2 2 2 5" xfId="3119"/>
    <cellStyle name="Normal 5 3 2 3 2 2 3" xfId="1059"/>
    <cellStyle name="Normal 5 3 2 3 2 2 3 2" xfId="1611"/>
    <cellStyle name="Normal 5 3 2 3 2 2 3 2 2" xfId="2707"/>
    <cellStyle name="Normal 5 3 2 3 2 2 3 2 2 2" xfId="4900"/>
    <cellStyle name="Normal 5 3 2 3 2 2 3 2 3" xfId="3804"/>
    <cellStyle name="Normal 5 3 2 3 2 2 3 3" xfId="2159"/>
    <cellStyle name="Normal 5 3 2 3 2 2 3 3 2" xfId="4352"/>
    <cellStyle name="Normal 5 3 2 3 2 2 3 4" xfId="3256"/>
    <cellStyle name="Normal 5 3 2 3 2 2 4" xfId="1337"/>
    <cellStyle name="Normal 5 3 2 3 2 2 4 2" xfId="2433"/>
    <cellStyle name="Normal 5 3 2 3 2 2 4 2 2" xfId="4626"/>
    <cellStyle name="Normal 5 3 2 3 2 2 4 3" xfId="3530"/>
    <cellStyle name="Normal 5 3 2 3 2 2 5" xfId="1885"/>
    <cellStyle name="Normal 5 3 2 3 2 2 5 2" xfId="4078"/>
    <cellStyle name="Normal 5 3 2 3 2 2 6" xfId="2982"/>
    <cellStyle name="Normal 5 3 2 3 2 3" xfId="853"/>
    <cellStyle name="Normal 5 3 2 3 2 3 2" xfId="1128"/>
    <cellStyle name="Normal 5 3 2 3 2 3 2 2" xfId="1680"/>
    <cellStyle name="Normal 5 3 2 3 2 3 2 2 2" xfId="2776"/>
    <cellStyle name="Normal 5 3 2 3 2 3 2 2 2 2" xfId="4969"/>
    <cellStyle name="Normal 5 3 2 3 2 3 2 2 3" xfId="3873"/>
    <cellStyle name="Normal 5 3 2 3 2 3 2 3" xfId="2228"/>
    <cellStyle name="Normal 5 3 2 3 2 3 2 3 2" xfId="4421"/>
    <cellStyle name="Normal 5 3 2 3 2 3 2 4" xfId="3325"/>
    <cellStyle name="Normal 5 3 2 3 2 3 3" xfId="1406"/>
    <cellStyle name="Normal 5 3 2 3 2 3 3 2" xfId="2502"/>
    <cellStyle name="Normal 5 3 2 3 2 3 3 2 2" xfId="4695"/>
    <cellStyle name="Normal 5 3 2 3 2 3 3 3" xfId="3599"/>
    <cellStyle name="Normal 5 3 2 3 2 3 4" xfId="1954"/>
    <cellStyle name="Normal 5 3 2 3 2 3 4 2" xfId="4147"/>
    <cellStyle name="Normal 5 3 2 3 2 3 5" xfId="3051"/>
    <cellStyle name="Normal 5 3 2 3 2 4" xfId="991"/>
    <cellStyle name="Normal 5 3 2 3 2 4 2" xfId="1543"/>
    <cellStyle name="Normal 5 3 2 3 2 4 2 2" xfId="2639"/>
    <cellStyle name="Normal 5 3 2 3 2 4 2 2 2" xfId="4832"/>
    <cellStyle name="Normal 5 3 2 3 2 4 2 3" xfId="3736"/>
    <cellStyle name="Normal 5 3 2 3 2 4 3" xfId="2091"/>
    <cellStyle name="Normal 5 3 2 3 2 4 3 2" xfId="4284"/>
    <cellStyle name="Normal 5 3 2 3 2 4 4" xfId="3188"/>
    <cellStyle name="Normal 5 3 2 3 2 5" xfId="1269"/>
    <cellStyle name="Normal 5 3 2 3 2 5 2" xfId="2365"/>
    <cellStyle name="Normal 5 3 2 3 2 5 2 2" xfId="4558"/>
    <cellStyle name="Normal 5 3 2 3 2 5 3" xfId="3462"/>
    <cellStyle name="Normal 5 3 2 3 2 6" xfId="1817"/>
    <cellStyle name="Normal 5 3 2 3 2 6 2" xfId="4010"/>
    <cellStyle name="Normal 5 3 2 3 2 7" xfId="2914"/>
    <cellStyle name="Normal 5 3 2 3 3" xfId="752"/>
    <cellStyle name="Normal 5 3 2 3 3 2" xfId="889"/>
    <cellStyle name="Normal 5 3 2 3 3 2 2" xfId="1164"/>
    <cellStyle name="Normal 5 3 2 3 3 2 2 2" xfId="1716"/>
    <cellStyle name="Normal 5 3 2 3 3 2 2 2 2" xfId="2812"/>
    <cellStyle name="Normal 5 3 2 3 3 2 2 2 2 2" xfId="5005"/>
    <cellStyle name="Normal 5 3 2 3 3 2 2 2 3" xfId="3909"/>
    <cellStyle name="Normal 5 3 2 3 3 2 2 3" xfId="2264"/>
    <cellStyle name="Normal 5 3 2 3 3 2 2 3 2" xfId="4457"/>
    <cellStyle name="Normal 5 3 2 3 3 2 2 4" xfId="3361"/>
    <cellStyle name="Normal 5 3 2 3 3 2 3" xfId="1442"/>
    <cellStyle name="Normal 5 3 2 3 3 2 3 2" xfId="2538"/>
    <cellStyle name="Normal 5 3 2 3 3 2 3 2 2" xfId="4731"/>
    <cellStyle name="Normal 5 3 2 3 3 2 3 3" xfId="3635"/>
    <cellStyle name="Normal 5 3 2 3 3 2 4" xfId="1990"/>
    <cellStyle name="Normal 5 3 2 3 3 2 4 2" xfId="4183"/>
    <cellStyle name="Normal 5 3 2 3 3 2 5" xfId="3087"/>
    <cellStyle name="Normal 5 3 2 3 3 3" xfId="1027"/>
    <cellStyle name="Normal 5 3 2 3 3 3 2" xfId="1579"/>
    <cellStyle name="Normal 5 3 2 3 3 3 2 2" xfId="2675"/>
    <cellStyle name="Normal 5 3 2 3 3 3 2 2 2" xfId="4868"/>
    <cellStyle name="Normal 5 3 2 3 3 3 2 3" xfId="3772"/>
    <cellStyle name="Normal 5 3 2 3 3 3 3" xfId="2127"/>
    <cellStyle name="Normal 5 3 2 3 3 3 3 2" xfId="4320"/>
    <cellStyle name="Normal 5 3 2 3 3 3 4" xfId="3224"/>
    <cellStyle name="Normal 5 3 2 3 3 4" xfId="1305"/>
    <cellStyle name="Normal 5 3 2 3 3 4 2" xfId="2401"/>
    <cellStyle name="Normal 5 3 2 3 3 4 2 2" xfId="4594"/>
    <cellStyle name="Normal 5 3 2 3 3 4 3" xfId="3498"/>
    <cellStyle name="Normal 5 3 2 3 3 5" xfId="1853"/>
    <cellStyle name="Normal 5 3 2 3 3 5 2" xfId="4046"/>
    <cellStyle name="Normal 5 3 2 3 3 6" xfId="2950"/>
    <cellStyle name="Normal 5 3 2 3 4" xfId="821"/>
    <cellStyle name="Normal 5 3 2 3 4 2" xfId="1096"/>
    <cellStyle name="Normal 5 3 2 3 4 2 2" xfId="1648"/>
    <cellStyle name="Normal 5 3 2 3 4 2 2 2" xfId="2744"/>
    <cellStyle name="Normal 5 3 2 3 4 2 2 2 2" xfId="4937"/>
    <cellStyle name="Normal 5 3 2 3 4 2 2 3" xfId="3841"/>
    <cellStyle name="Normal 5 3 2 3 4 2 3" xfId="2196"/>
    <cellStyle name="Normal 5 3 2 3 4 2 3 2" xfId="4389"/>
    <cellStyle name="Normal 5 3 2 3 4 2 4" xfId="3293"/>
    <cellStyle name="Normal 5 3 2 3 4 3" xfId="1374"/>
    <cellStyle name="Normal 5 3 2 3 4 3 2" xfId="2470"/>
    <cellStyle name="Normal 5 3 2 3 4 3 2 2" xfId="4663"/>
    <cellStyle name="Normal 5 3 2 3 4 3 3" xfId="3567"/>
    <cellStyle name="Normal 5 3 2 3 4 4" xfId="1922"/>
    <cellStyle name="Normal 5 3 2 3 4 4 2" xfId="4115"/>
    <cellStyle name="Normal 5 3 2 3 4 5" xfId="3019"/>
    <cellStyle name="Normal 5 3 2 3 5" xfId="959"/>
    <cellStyle name="Normal 5 3 2 3 5 2" xfId="1511"/>
    <cellStyle name="Normal 5 3 2 3 5 2 2" xfId="2607"/>
    <cellStyle name="Normal 5 3 2 3 5 2 2 2" xfId="4800"/>
    <cellStyle name="Normal 5 3 2 3 5 2 3" xfId="3704"/>
    <cellStyle name="Normal 5 3 2 3 5 3" xfId="2059"/>
    <cellStyle name="Normal 5 3 2 3 5 3 2" xfId="4252"/>
    <cellStyle name="Normal 5 3 2 3 5 4" xfId="3156"/>
    <cellStyle name="Normal 5 3 2 3 6" xfId="1237"/>
    <cellStyle name="Normal 5 3 2 3 6 2" xfId="2333"/>
    <cellStyle name="Normal 5 3 2 3 6 2 2" xfId="4526"/>
    <cellStyle name="Normal 5 3 2 3 6 3" xfId="3430"/>
    <cellStyle name="Normal 5 3 2 3 7" xfId="1785"/>
    <cellStyle name="Normal 5 3 2 3 7 2" xfId="3978"/>
    <cellStyle name="Normal 5 3 2 3 8" xfId="2882"/>
    <cellStyle name="Normal 5 3 2 4" xfId="698"/>
    <cellStyle name="Normal 5 3 2 4 2" xfId="768"/>
    <cellStyle name="Normal 5 3 2 4 2 2" xfId="905"/>
    <cellStyle name="Normal 5 3 2 4 2 2 2" xfId="1180"/>
    <cellStyle name="Normal 5 3 2 4 2 2 2 2" xfId="1732"/>
    <cellStyle name="Normal 5 3 2 4 2 2 2 2 2" xfId="2828"/>
    <cellStyle name="Normal 5 3 2 4 2 2 2 2 2 2" xfId="5021"/>
    <cellStyle name="Normal 5 3 2 4 2 2 2 2 3" xfId="3925"/>
    <cellStyle name="Normal 5 3 2 4 2 2 2 3" xfId="2280"/>
    <cellStyle name="Normal 5 3 2 4 2 2 2 3 2" xfId="4473"/>
    <cellStyle name="Normal 5 3 2 4 2 2 2 4" xfId="3377"/>
    <cellStyle name="Normal 5 3 2 4 2 2 3" xfId="1458"/>
    <cellStyle name="Normal 5 3 2 4 2 2 3 2" xfId="2554"/>
    <cellStyle name="Normal 5 3 2 4 2 2 3 2 2" xfId="4747"/>
    <cellStyle name="Normal 5 3 2 4 2 2 3 3" xfId="3651"/>
    <cellStyle name="Normal 5 3 2 4 2 2 4" xfId="2006"/>
    <cellStyle name="Normal 5 3 2 4 2 2 4 2" xfId="4199"/>
    <cellStyle name="Normal 5 3 2 4 2 2 5" xfId="3103"/>
    <cellStyle name="Normal 5 3 2 4 2 3" xfId="1043"/>
    <cellStyle name="Normal 5 3 2 4 2 3 2" xfId="1595"/>
    <cellStyle name="Normal 5 3 2 4 2 3 2 2" xfId="2691"/>
    <cellStyle name="Normal 5 3 2 4 2 3 2 2 2" xfId="4884"/>
    <cellStyle name="Normal 5 3 2 4 2 3 2 3" xfId="3788"/>
    <cellStyle name="Normal 5 3 2 4 2 3 3" xfId="2143"/>
    <cellStyle name="Normal 5 3 2 4 2 3 3 2" xfId="4336"/>
    <cellStyle name="Normal 5 3 2 4 2 3 4" xfId="3240"/>
    <cellStyle name="Normal 5 3 2 4 2 4" xfId="1321"/>
    <cellStyle name="Normal 5 3 2 4 2 4 2" xfId="2417"/>
    <cellStyle name="Normal 5 3 2 4 2 4 2 2" xfId="4610"/>
    <cellStyle name="Normal 5 3 2 4 2 4 3" xfId="3514"/>
    <cellStyle name="Normal 5 3 2 4 2 5" xfId="1869"/>
    <cellStyle name="Normal 5 3 2 4 2 5 2" xfId="4062"/>
    <cellStyle name="Normal 5 3 2 4 2 6" xfId="2966"/>
    <cellStyle name="Normal 5 3 2 4 3" xfId="837"/>
    <cellStyle name="Normal 5 3 2 4 3 2" xfId="1112"/>
    <cellStyle name="Normal 5 3 2 4 3 2 2" xfId="1664"/>
    <cellStyle name="Normal 5 3 2 4 3 2 2 2" xfId="2760"/>
    <cellStyle name="Normal 5 3 2 4 3 2 2 2 2" xfId="4953"/>
    <cellStyle name="Normal 5 3 2 4 3 2 2 3" xfId="3857"/>
    <cellStyle name="Normal 5 3 2 4 3 2 3" xfId="2212"/>
    <cellStyle name="Normal 5 3 2 4 3 2 3 2" xfId="4405"/>
    <cellStyle name="Normal 5 3 2 4 3 2 4" xfId="3309"/>
    <cellStyle name="Normal 5 3 2 4 3 3" xfId="1390"/>
    <cellStyle name="Normal 5 3 2 4 3 3 2" xfId="2486"/>
    <cellStyle name="Normal 5 3 2 4 3 3 2 2" xfId="4679"/>
    <cellStyle name="Normal 5 3 2 4 3 3 3" xfId="3583"/>
    <cellStyle name="Normal 5 3 2 4 3 4" xfId="1938"/>
    <cellStyle name="Normal 5 3 2 4 3 4 2" xfId="4131"/>
    <cellStyle name="Normal 5 3 2 4 3 5" xfId="3035"/>
    <cellStyle name="Normal 5 3 2 4 4" xfId="975"/>
    <cellStyle name="Normal 5 3 2 4 4 2" xfId="1527"/>
    <cellStyle name="Normal 5 3 2 4 4 2 2" xfId="2623"/>
    <cellStyle name="Normal 5 3 2 4 4 2 2 2" xfId="4816"/>
    <cellStyle name="Normal 5 3 2 4 4 2 3" xfId="3720"/>
    <cellStyle name="Normal 5 3 2 4 4 3" xfId="2075"/>
    <cellStyle name="Normal 5 3 2 4 4 3 2" xfId="4268"/>
    <cellStyle name="Normal 5 3 2 4 4 4" xfId="3172"/>
    <cellStyle name="Normal 5 3 2 4 5" xfId="1253"/>
    <cellStyle name="Normal 5 3 2 4 5 2" xfId="2349"/>
    <cellStyle name="Normal 5 3 2 4 5 2 2" xfId="4542"/>
    <cellStyle name="Normal 5 3 2 4 5 3" xfId="3446"/>
    <cellStyle name="Normal 5 3 2 4 6" xfId="1801"/>
    <cellStyle name="Normal 5 3 2 4 6 2" xfId="3994"/>
    <cellStyle name="Normal 5 3 2 4 7" xfId="2898"/>
    <cellStyle name="Normal 5 3 2 5" xfId="736"/>
    <cellStyle name="Normal 5 3 2 5 2" xfId="873"/>
    <cellStyle name="Normal 5 3 2 5 2 2" xfId="1148"/>
    <cellStyle name="Normal 5 3 2 5 2 2 2" xfId="1700"/>
    <cellStyle name="Normal 5 3 2 5 2 2 2 2" xfId="2796"/>
    <cellStyle name="Normal 5 3 2 5 2 2 2 2 2" xfId="4989"/>
    <cellStyle name="Normal 5 3 2 5 2 2 2 3" xfId="3893"/>
    <cellStyle name="Normal 5 3 2 5 2 2 3" xfId="2248"/>
    <cellStyle name="Normal 5 3 2 5 2 2 3 2" xfId="4441"/>
    <cellStyle name="Normal 5 3 2 5 2 2 4" xfId="3345"/>
    <cellStyle name="Normal 5 3 2 5 2 3" xfId="1426"/>
    <cellStyle name="Normal 5 3 2 5 2 3 2" xfId="2522"/>
    <cellStyle name="Normal 5 3 2 5 2 3 2 2" xfId="4715"/>
    <cellStyle name="Normal 5 3 2 5 2 3 3" xfId="3619"/>
    <cellStyle name="Normal 5 3 2 5 2 4" xfId="1974"/>
    <cellStyle name="Normal 5 3 2 5 2 4 2" xfId="4167"/>
    <cellStyle name="Normal 5 3 2 5 2 5" xfId="3071"/>
    <cellStyle name="Normal 5 3 2 5 3" xfId="1011"/>
    <cellStyle name="Normal 5 3 2 5 3 2" xfId="1563"/>
    <cellStyle name="Normal 5 3 2 5 3 2 2" xfId="2659"/>
    <cellStyle name="Normal 5 3 2 5 3 2 2 2" xfId="4852"/>
    <cellStyle name="Normal 5 3 2 5 3 2 3" xfId="3756"/>
    <cellStyle name="Normal 5 3 2 5 3 3" xfId="2111"/>
    <cellStyle name="Normal 5 3 2 5 3 3 2" xfId="4304"/>
    <cellStyle name="Normal 5 3 2 5 3 4" xfId="3208"/>
    <cellStyle name="Normal 5 3 2 5 4" xfId="1289"/>
    <cellStyle name="Normal 5 3 2 5 4 2" xfId="2385"/>
    <cellStyle name="Normal 5 3 2 5 4 2 2" xfId="4578"/>
    <cellStyle name="Normal 5 3 2 5 4 3" xfId="3482"/>
    <cellStyle name="Normal 5 3 2 5 5" xfId="1837"/>
    <cellStyle name="Normal 5 3 2 5 5 2" xfId="4030"/>
    <cellStyle name="Normal 5 3 2 5 6" xfId="2934"/>
    <cellStyle name="Normal 5 3 2 6" xfId="805"/>
    <cellStyle name="Normal 5 3 2 6 2" xfId="1080"/>
    <cellStyle name="Normal 5 3 2 6 2 2" xfId="1632"/>
    <cellStyle name="Normal 5 3 2 6 2 2 2" xfId="2728"/>
    <cellStyle name="Normal 5 3 2 6 2 2 2 2" xfId="4921"/>
    <cellStyle name="Normal 5 3 2 6 2 2 3" xfId="3825"/>
    <cellStyle name="Normal 5 3 2 6 2 3" xfId="2180"/>
    <cellStyle name="Normal 5 3 2 6 2 3 2" xfId="4373"/>
    <cellStyle name="Normal 5 3 2 6 2 4" xfId="3277"/>
    <cellStyle name="Normal 5 3 2 6 3" xfId="1358"/>
    <cellStyle name="Normal 5 3 2 6 3 2" xfId="2454"/>
    <cellStyle name="Normal 5 3 2 6 3 2 2" xfId="4647"/>
    <cellStyle name="Normal 5 3 2 6 3 3" xfId="3551"/>
    <cellStyle name="Normal 5 3 2 6 4" xfId="1906"/>
    <cellStyle name="Normal 5 3 2 6 4 2" xfId="4099"/>
    <cellStyle name="Normal 5 3 2 6 5" xfId="3003"/>
    <cellStyle name="Normal 5 3 2 7" xfId="943"/>
    <cellStyle name="Normal 5 3 2 7 2" xfId="1495"/>
    <cellStyle name="Normal 5 3 2 7 2 2" xfId="2591"/>
    <cellStyle name="Normal 5 3 2 7 2 2 2" xfId="4784"/>
    <cellStyle name="Normal 5 3 2 7 2 3" xfId="3688"/>
    <cellStyle name="Normal 5 3 2 7 3" xfId="2043"/>
    <cellStyle name="Normal 5 3 2 7 3 2" xfId="4236"/>
    <cellStyle name="Normal 5 3 2 7 4" xfId="3140"/>
    <cellStyle name="Normal 5 3 2 8" xfId="1221"/>
    <cellStyle name="Normal 5 3 2 8 2" xfId="2317"/>
    <cellStyle name="Normal 5 3 2 8 2 2" xfId="4510"/>
    <cellStyle name="Normal 5 3 2 8 3" xfId="3414"/>
    <cellStyle name="Normal 5 3 2 9" xfId="1769"/>
    <cellStyle name="Normal 5 3 2 9 2" xfId="3962"/>
    <cellStyle name="Normal 5 3 3" xfId="662"/>
    <cellStyle name="Normal 5 3 3 2" xfId="682"/>
    <cellStyle name="Normal 5 3 3 2 2" xfId="718"/>
    <cellStyle name="Normal 5 3 3 2 2 2" xfId="788"/>
    <cellStyle name="Normal 5 3 3 2 2 2 2" xfId="925"/>
    <cellStyle name="Normal 5 3 3 2 2 2 2 2" xfId="1200"/>
    <cellStyle name="Normal 5 3 3 2 2 2 2 2 2" xfId="1752"/>
    <cellStyle name="Normal 5 3 3 2 2 2 2 2 2 2" xfId="2848"/>
    <cellStyle name="Normal 5 3 3 2 2 2 2 2 2 2 2" xfId="5041"/>
    <cellStyle name="Normal 5 3 3 2 2 2 2 2 2 3" xfId="3945"/>
    <cellStyle name="Normal 5 3 3 2 2 2 2 2 3" xfId="2300"/>
    <cellStyle name="Normal 5 3 3 2 2 2 2 2 3 2" xfId="4493"/>
    <cellStyle name="Normal 5 3 3 2 2 2 2 2 4" xfId="3397"/>
    <cellStyle name="Normal 5 3 3 2 2 2 2 3" xfId="1478"/>
    <cellStyle name="Normal 5 3 3 2 2 2 2 3 2" xfId="2574"/>
    <cellStyle name="Normal 5 3 3 2 2 2 2 3 2 2" xfId="4767"/>
    <cellStyle name="Normal 5 3 3 2 2 2 2 3 3" xfId="3671"/>
    <cellStyle name="Normal 5 3 3 2 2 2 2 4" xfId="2026"/>
    <cellStyle name="Normal 5 3 3 2 2 2 2 4 2" xfId="4219"/>
    <cellStyle name="Normal 5 3 3 2 2 2 2 5" xfId="3123"/>
    <cellStyle name="Normal 5 3 3 2 2 2 3" xfId="1063"/>
    <cellStyle name="Normal 5 3 3 2 2 2 3 2" xfId="1615"/>
    <cellStyle name="Normal 5 3 3 2 2 2 3 2 2" xfId="2711"/>
    <cellStyle name="Normal 5 3 3 2 2 2 3 2 2 2" xfId="4904"/>
    <cellStyle name="Normal 5 3 3 2 2 2 3 2 3" xfId="3808"/>
    <cellStyle name="Normal 5 3 3 2 2 2 3 3" xfId="2163"/>
    <cellStyle name="Normal 5 3 3 2 2 2 3 3 2" xfId="4356"/>
    <cellStyle name="Normal 5 3 3 2 2 2 3 4" xfId="3260"/>
    <cellStyle name="Normal 5 3 3 2 2 2 4" xfId="1341"/>
    <cellStyle name="Normal 5 3 3 2 2 2 4 2" xfId="2437"/>
    <cellStyle name="Normal 5 3 3 2 2 2 4 2 2" xfId="4630"/>
    <cellStyle name="Normal 5 3 3 2 2 2 4 3" xfId="3534"/>
    <cellStyle name="Normal 5 3 3 2 2 2 5" xfId="1889"/>
    <cellStyle name="Normal 5 3 3 2 2 2 5 2" xfId="4082"/>
    <cellStyle name="Normal 5 3 3 2 2 2 6" xfId="2986"/>
    <cellStyle name="Normal 5 3 3 2 2 3" xfId="857"/>
    <cellStyle name="Normal 5 3 3 2 2 3 2" xfId="1132"/>
    <cellStyle name="Normal 5 3 3 2 2 3 2 2" xfId="1684"/>
    <cellStyle name="Normal 5 3 3 2 2 3 2 2 2" xfId="2780"/>
    <cellStyle name="Normal 5 3 3 2 2 3 2 2 2 2" xfId="4973"/>
    <cellStyle name="Normal 5 3 3 2 2 3 2 2 3" xfId="3877"/>
    <cellStyle name="Normal 5 3 3 2 2 3 2 3" xfId="2232"/>
    <cellStyle name="Normal 5 3 3 2 2 3 2 3 2" xfId="4425"/>
    <cellStyle name="Normal 5 3 3 2 2 3 2 4" xfId="3329"/>
    <cellStyle name="Normal 5 3 3 2 2 3 3" xfId="1410"/>
    <cellStyle name="Normal 5 3 3 2 2 3 3 2" xfId="2506"/>
    <cellStyle name="Normal 5 3 3 2 2 3 3 2 2" xfId="4699"/>
    <cellStyle name="Normal 5 3 3 2 2 3 3 3" xfId="3603"/>
    <cellStyle name="Normal 5 3 3 2 2 3 4" xfId="1958"/>
    <cellStyle name="Normal 5 3 3 2 2 3 4 2" xfId="4151"/>
    <cellStyle name="Normal 5 3 3 2 2 3 5" xfId="3055"/>
    <cellStyle name="Normal 5 3 3 2 2 4" xfId="995"/>
    <cellStyle name="Normal 5 3 3 2 2 4 2" xfId="1547"/>
    <cellStyle name="Normal 5 3 3 2 2 4 2 2" xfId="2643"/>
    <cellStyle name="Normal 5 3 3 2 2 4 2 2 2" xfId="4836"/>
    <cellStyle name="Normal 5 3 3 2 2 4 2 3" xfId="3740"/>
    <cellStyle name="Normal 5 3 3 2 2 4 3" xfId="2095"/>
    <cellStyle name="Normal 5 3 3 2 2 4 3 2" xfId="4288"/>
    <cellStyle name="Normal 5 3 3 2 2 4 4" xfId="3192"/>
    <cellStyle name="Normal 5 3 3 2 2 5" xfId="1273"/>
    <cellStyle name="Normal 5 3 3 2 2 5 2" xfId="2369"/>
    <cellStyle name="Normal 5 3 3 2 2 5 2 2" xfId="4562"/>
    <cellStyle name="Normal 5 3 3 2 2 5 3" xfId="3466"/>
    <cellStyle name="Normal 5 3 3 2 2 6" xfId="1821"/>
    <cellStyle name="Normal 5 3 3 2 2 6 2" xfId="4014"/>
    <cellStyle name="Normal 5 3 3 2 2 7" xfId="2918"/>
    <cellStyle name="Normal 5 3 3 2 3" xfId="756"/>
    <cellStyle name="Normal 5 3 3 2 3 2" xfId="893"/>
    <cellStyle name="Normal 5 3 3 2 3 2 2" xfId="1168"/>
    <cellStyle name="Normal 5 3 3 2 3 2 2 2" xfId="1720"/>
    <cellStyle name="Normal 5 3 3 2 3 2 2 2 2" xfId="2816"/>
    <cellStyle name="Normal 5 3 3 2 3 2 2 2 2 2" xfId="5009"/>
    <cellStyle name="Normal 5 3 3 2 3 2 2 2 3" xfId="3913"/>
    <cellStyle name="Normal 5 3 3 2 3 2 2 3" xfId="2268"/>
    <cellStyle name="Normal 5 3 3 2 3 2 2 3 2" xfId="4461"/>
    <cellStyle name="Normal 5 3 3 2 3 2 2 4" xfId="3365"/>
    <cellStyle name="Normal 5 3 3 2 3 2 3" xfId="1446"/>
    <cellStyle name="Normal 5 3 3 2 3 2 3 2" xfId="2542"/>
    <cellStyle name="Normal 5 3 3 2 3 2 3 2 2" xfId="4735"/>
    <cellStyle name="Normal 5 3 3 2 3 2 3 3" xfId="3639"/>
    <cellStyle name="Normal 5 3 3 2 3 2 4" xfId="1994"/>
    <cellStyle name="Normal 5 3 3 2 3 2 4 2" xfId="4187"/>
    <cellStyle name="Normal 5 3 3 2 3 2 5" xfId="3091"/>
    <cellStyle name="Normal 5 3 3 2 3 3" xfId="1031"/>
    <cellStyle name="Normal 5 3 3 2 3 3 2" xfId="1583"/>
    <cellStyle name="Normal 5 3 3 2 3 3 2 2" xfId="2679"/>
    <cellStyle name="Normal 5 3 3 2 3 3 2 2 2" xfId="4872"/>
    <cellStyle name="Normal 5 3 3 2 3 3 2 3" xfId="3776"/>
    <cellStyle name="Normal 5 3 3 2 3 3 3" xfId="2131"/>
    <cellStyle name="Normal 5 3 3 2 3 3 3 2" xfId="4324"/>
    <cellStyle name="Normal 5 3 3 2 3 3 4" xfId="3228"/>
    <cellStyle name="Normal 5 3 3 2 3 4" xfId="1309"/>
    <cellStyle name="Normal 5 3 3 2 3 4 2" xfId="2405"/>
    <cellStyle name="Normal 5 3 3 2 3 4 2 2" xfId="4598"/>
    <cellStyle name="Normal 5 3 3 2 3 4 3" xfId="3502"/>
    <cellStyle name="Normal 5 3 3 2 3 5" xfId="1857"/>
    <cellStyle name="Normal 5 3 3 2 3 5 2" xfId="4050"/>
    <cellStyle name="Normal 5 3 3 2 3 6" xfId="2954"/>
    <cellStyle name="Normal 5 3 3 2 4" xfId="825"/>
    <cellStyle name="Normal 5 3 3 2 4 2" xfId="1100"/>
    <cellStyle name="Normal 5 3 3 2 4 2 2" xfId="1652"/>
    <cellStyle name="Normal 5 3 3 2 4 2 2 2" xfId="2748"/>
    <cellStyle name="Normal 5 3 3 2 4 2 2 2 2" xfId="4941"/>
    <cellStyle name="Normal 5 3 3 2 4 2 2 3" xfId="3845"/>
    <cellStyle name="Normal 5 3 3 2 4 2 3" xfId="2200"/>
    <cellStyle name="Normal 5 3 3 2 4 2 3 2" xfId="4393"/>
    <cellStyle name="Normal 5 3 3 2 4 2 4" xfId="3297"/>
    <cellStyle name="Normal 5 3 3 2 4 3" xfId="1378"/>
    <cellStyle name="Normal 5 3 3 2 4 3 2" xfId="2474"/>
    <cellStyle name="Normal 5 3 3 2 4 3 2 2" xfId="4667"/>
    <cellStyle name="Normal 5 3 3 2 4 3 3" xfId="3571"/>
    <cellStyle name="Normal 5 3 3 2 4 4" xfId="1926"/>
    <cellStyle name="Normal 5 3 3 2 4 4 2" xfId="4119"/>
    <cellStyle name="Normal 5 3 3 2 4 5" xfId="3023"/>
    <cellStyle name="Normal 5 3 3 2 5" xfId="963"/>
    <cellStyle name="Normal 5 3 3 2 5 2" xfId="1515"/>
    <cellStyle name="Normal 5 3 3 2 5 2 2" xfId="2611"/>
    <cellStyle name="Normal 5 3 3 2 5 2 2 2" xfId="4804"/>
    <cellStyle name="Normal 5 3 3 2 5 2 3" xfId="3708"/>
    <cellStyle name="Normal 5 3 3 2 5 3" xfId="2063"/>
    <cellStyle name="Normal 5 3 3 2 5 3 2" xfId="4256"/>
    <cellStyle name="Normal 5 3 3 2 5 4" xfId="3160"/>
    <cellStyle name="Normal 5 3 3 2 6" xfId="1241"/>
    <cellStyle name="Normal 5 3 3 2 6 2" xfId="2337"/>
    <cellStyle name="Normal 5 3 3 2 6 2 2" xfId="4530"/>
    <cellStyle name="Normal 5 3 3 2 6 3" xfId="3434"/>
    <cellStyle name="Normal 5 3 3 2 7" xfId="1789"/>
    <cellStyle name="Normal 5 3 3 2 7 2" xfId="3982"/>
    <cellStyle name="Normal 5 3 3 2 8" xfId="2886"/>
    <cellStyle name="Normal 5 3 3 3" xfId="702"/>
    <cellStyle name="Normal 5 3 3 3 2" xfId="772"/>
    <cellStyle name="Normal 5 3 3 3 2 2" xfId="909"/>
    <cellStyle name="Normal 5 3 3 3 2 2 2" xfId="1184"/>
    <cellStyle name="Normal 5 3 3 3 2 2 2 2" xfId="1736"/>
    <cellStyle name="Normal 5 3 3 3 2 2 2 2 2" xfId="2832"/>
    <cellStyle name="Normal 5 3 3 3 2 2 2 2 2 2" xfId="5025"/>
    <cellStyle name="Normal 5 3 3 3 2 2 2 2 3" xfId="3929"/>
    <cellStyle name="Normal 5 3 3 3 2 2 2 3" xfId="2284"/>
    <cellStyle name="Normal 5 3 3 3 2 2 2 3 2" xfId="4477"/>
    <cellStyle name="Normal 5 3 3 3 2 2 2 4" xfId="3381"/>
    <cellStyle name="Normal 5 3 3 3 2 2 3" xfId="1462"/>
    <cellStyle name="Normal 5 3 3 3 2 2 3 2" xfId="2558"/>
    <cellStyle name="Normal 5 3 3 3 2 2 3 2 2" xfId="4751"/>
    <cellStyle name="Normal 5 3 3 3 2 2 3 3" xfId="3655"/>
    <cellStyle name="Normal 5 3 3 3 2 2 4" xfId="2010"/>
    <cellStyle name="Normal 5 3 3 3 2 2 4 2" xfId="4203"/>
    <cellStyle name="Normal 5 3 3 3 2 2 5" xfId="3107"/>
    <cellStyle name="Normal 5 3 3 3 2 3" xfId="1047"/>
    <cellStyle name="Normal 5 3 3 3 2 3 2" xfId="1599"/>
    <cellStyle name="Normal 5 3 3 3 2 3 2 2" xfId="2695"/>
    <cellStyle name="Normal 5 3 3 3 2 3 2 2 2" xfId="4888"/>
    <cellStyle name="Normal 5 3 3 3 2 3 2 3" xfId="3792"/>
    <cellStyle name="Normal 5 3 3 3 2 3 3" xfId="2147"/>
    <cellStyle name="Normal 5 3 3 3 2 3 3 2" xfId="4340"/>
    <cellStyle name="Normal 5 3 3 3 2 3 4" xfId="3244"/>
    <cellStyle name="Normal 5 3 3 3 2 4" xfId="1325"/>
    <cellStyle name="Normal 5 3 3 3 2 4 2" xfId="2421"/>
    <cellStyle name="Normal 5 3 3 3 2 4 2 2" xfId="4614"/>
    <cellStyle name="Normal 5 3 3 3 2 4 3" xfId="3518"/>
    <cellStyle name="Normal 5 3 3 3 2 5" xfId="1873"/>
    <cellStyle name="Normal 5 3 3 3 2 5 2" xfId="4066"/>
    <cellStyle name="Normal 5 3 3 3 2 6" xfId="2970"/>
    <cellStyle name="Normal 5 3 3 3 3" xfId="841"/>
    <cellStyle name="Normal 5 3 3 3 3 2" xfId="1116"/>
    <cellStyle name="Normal 5 3 3 3 3 2 2" xfId="1668"/>
    <cellStyle name="Normal 5 3 3 3 3 2 2 2" xfId="2764"/>
    <cellStyle name="Normal 5 3 3 3 3 2 2 2 2" xfId="4957"/>
    <cellStyle name="Normal 5 3 3 3 3 2 2 3" xfId="3861"/>
    <cellStyle name="Normal 5 3 3 3 3 2 3" xfId="2216"/>
    <cellStyle name="Normal 5 3 3 3 3 2 3 2" xfId="4409"/>
    <cellStyle name="Normal 5 3 3 3 3 2 4" xfId="3313"/>
    <cellStyle name="Normal 5 3 3 3 3 3" xfId="1394"/>
    <cellStyle name="Normal 5 3 3 3 3 3 2" xfId="2490"/>
    <cellStyle name="Normal 5 3 3 3 3 3 2 2" xfId="4683"/>
    <cellStyle name="Normal 5 3 3 3 3 3 3" xfId="3587"/>
    <cellStyle name="Normal 5 3 3 3 3 4" xfId="1942"/>
    <cellStyle name="Normal 5 3 3 3 3 4 2" xfId="4135"/>
    <cellStyle name="Normal 5 3 3 3 3 5" xfId="3039"/>
    <cellStyle name="Normal 5 3 3 3 4" xfId="979"/>
    <cellStyle name="Normal 5 3 3 3 4 2" xfId="1531"/>
    <cellStyle name="Normal 5 3 3 3 4 2 2" xfId="2627"/>
    <cellStyle name="Normal 5 3 3 3 4 2 2 2" xfId="4820"/>
    <cellStyle name="Normal 5 3 3 3 4 2 3" xfId="3724"/>
    <cellStyle name="Normal 5 3 3 3 4 3" xfId="2079"/>
    <cellStyle name="Normal 5 3 3 3 4 3 2" xfId="4272"/>
    <cellStyle name="Normal 5 3 3 3 4 4" xfId="3176"/>
    <cellStyle name="Normal 5 3 3 3 5" xfId="1257"/>
    <cellStyle name="Normal 5 3 3 3 5 2" xfId="2353"/>
    <cellStyle name="Normal 5 3 3 3 5 2 2" xfId="4546"/>
    <cellStyle name="Normal 5 3 3 3 5 3" xfId="3450"/>
    <cellStyle name="Normal 5 3 3 3 6" xfId="1805"/>
    <cellStyle name="Normal 5 3 3 3 6 2" xfId="3998"/>
    <cellStyle name="Normal 5 3 3 3 7" xfId="2902"/>
    <cellStyle name="Normal 5 3 3 4" xfId="740"/>
    <cellStyle name="Normal 5 3 3 4 2" xfId="877"/>
    <cellStyle name="Normal 5 3 3 4 2 2" xfId="1152"/>
    <cellStyle name="Normal 5 3 3 4 2 2 2" xfId="1704"/>
    <cellStyle name="Normal 5 3 3 4 2 2 2 2" xfId="2800"/>
    <cellStyle name="Normal 5 3 3 4 2 2 2 2 2" xfId="4993"/>
    <cellStyle name="Normal 5 3 3 4 2 2 2 3" xfId="3897"/>
    <cellStyle name="Normal 5 3 3 4 2 2 3" xfId="2252"/>
    <cellStyle name="Normal 5 3 3 4 2 2 3 2" xfId="4445"/>
    <cellStyle name="Normal 5 3 3 4 2 2 4" xfId="3349"/>
    <cellStyle name="Normal 5 3 3 4 2 3" xfId="1430"/>
    <cellStyle name="Normal 5 3 3 4 2 3 2" xfId="2526"/>
    <cellStyle name="Normal 5 3 3 4 2 3 2 2" xfId="4719"/>
    <cellStyle name="Normal 5 3 3 4 2 3 3" xfId="3623"/>
    <cellStyle name="Normal 5 3 3 4 2 4" xfId="1978"/>
    <cellStyle name="Normal 5 3 3 4 2 4 2" xfId="4171"/>
    <cellStyle name="Normal 5 3 3 4 2 5" xfId="3075"/>
    <cellStyle name="Normal 5 3 3 4 3" xfId="1015"/>
    <cellStyle name="Normal 5 3 3 4 3 2" xfId="1567"/>
    <cellStyle name="Normal 5 3 3 4 3 2 2" xfId="2663"/>
    <cellStyle name="Normal 5 3 3 4 3 2 2 2" xfId="4856"/>
    <cellStyle name="Normal 5 3 3 4 3 2 3" xfId="3760"/>
    <cellStyle name="Normal 5 3 3 4 3 3" xfId="2115"/>
    <cellStyle name="Normal 5 3 3 4 3 3 2" xfId="4308"/>
    <cellStyle name="Normal 5 3 3 4 3 4" xfId="3212"/>
    <cellStyle name="Normal 5 3 3 4 4" xfId="1293"/>
    <cellStyle name="Normal 5 3 3 4 4 2" xfId="2389"/>
    <cellStyle name="Normal 5 3 3 4 4 2 2" xfId="4582"/>
    <cellStyle name="Normal 5 3 3 4 4 3" xfId="3486"/>
    <cellStyle name="Normal 5 3 3 4 5" xfId="1841"/>
    <cellStyle name="Normal 5 3 3 4 5 2" xfId="4034"/>
    <cellStyle name="Normal 5 3 3 4 6" xfId="2938"/>
    <cellStyle name="Normal 5 3 3 5" xfId="809"/>
    <cellStyle name="Normal 5 3 3 5 2" xfId="1084"/>
    <cellStyle name="Normal 5 3 3 5 2 2" xfId="1636"/>
    <cellStyle name="Normal 5 3 3 5 2 2 2" xfId="2732"/>
    <cellStyle name="Normal 5 3 3 5 2 2 2 2" xfId="4925"/>
    <cellStyle name="Normal 5 3 3 5 2 2 3" xfId="3829"/>
    <cellStyle name="Normal 5 3 3 5 2 3" xfId="2184"/>
    <cellStyle name="Normal 5 3 3 5 2 3 2" xfId="4377"/>
    <cellStyle name="Normal 5 3 3 5 2 4" xfId="3281"/>
    <cellStyle name="Normal 5 3 3 5 3" xfId="1362"/>
    <cellStyle name="Normal 5 3 3 5 3 2" xfId="2458"/>
    <cellStyle name="Normal 5 3 3 5 3 2 2" xfId="4651"/>
    <cellStyle name="Normal 5 3 3 5 3 3" xfId="3555"/>
    <cellStyle name="Normal 5 3 3 5 4" xfId="1910"/>
    <cellStyle name="Normal 5 3 3 5 4 2" xfId="4103"/>
    <cellStyle name="Normal 5 3 3 5 5" xfId="3007"/>
    <cellStyle name="Normal 5 3 3 6" xfId="947"/>
    <cellStyle name="Normal 5 3 3 6 2" xfId="1499"/>
    <cellStyle name="Normal 5 3 3 6 2 2" xfId="2595"/>
    <cellStyle name="Normal 5 3 3 6 2 2 2" xfId="4788"/>
    <cellStyle name="Normal 5 3 3 6 2 3" xfId="3692"/>
    <cellStyle name="Normal 5 3 3 6 3" xfId="2047"/>
    <cellStyle name="Normal 5 3 3 6 3 2" xfId="4240"/>
    <cellStyle name="Normal 5 3 3 6 4" xfId="3144"/>
    <cellStyle name="Normal 5 3 3 7" xfId="1225"/>
    <cellStyle name="Normal 5 3 3 7 2" xfId="2321"/>
    <cellStyle name="Normal 5 3 3 7 2 2" xfId="4514"/>
    <cellStyle name="Normal 5 3 3 7 3" xfId="3418"/>
    <cellStyle name="Normal 5 3 3 8" xfId="1773"/>
    <cellStyle name="Normal 5 3 3 8 2" xfId="3966"/>
    <cellStyle name="Normal 5 3 3 9" xfId="2870"/>
    <cellStyle name="Normal 5 3 4" xfId="674"/>
    <cellStyle name="Normal 5 3 4 2" xfId="710"/>
    <cellStyle name="Normal 5 3 4 2 2" xfId="780"/>
    <cellStyle name="Normal 5 3 4 2 2 2" xfId="917"/>
    <cellStyle name="Normal 5 3 4 2 2 2 2" xfId="1192"/>
    <cellStyle name="Normal 5 3 4 2 2 2 2 2" xfId="1744"/>
    <cellStyle name="Normal 5 3 4 2 2 2 2 2 2" xfId="2840"/>
    <cellStyle name="Normal 5 3 4 2 2 2 2 2 2 2" xfId="5033"/>
    <cellStyle name="Normal 5 3 4 2 2 2 2 2 3" xfId="3937"/>
    <cellStyle name="Normal 5 3 4 2 2 2 2 3" xfId="2292"/>
    <cellStyle name="Normal 5 3 4 2 2 2 2 3 2" xfId="4485"/>
    <cellStyle name="Normal 5 3 4 2 2 2 2 4" xfId="3389"/>
    <cellStyle name="Normal 5 3 4 2 2 2 3" xfId="1470"/>
    <cellStyle name="Normal 5 3 4 2 2 2 3 2" xfId="2566"/>
    <cellStyle name="Normal 5 3 4 2 2 2 3 2 2" xfId="4759"/>
    <cellStyle name="Normal 5 3 4 2 2 2 3 3" xfId="3663"/>
    <cellStyle name="Normal 5 3 4 2 2 2 4" xfId="2018"/>
    <cellStyle name="Normal 5 3 4 2 2 2 4 2" xfId="4211"/>
    <cellStyle name="Normal 5 3 4 2 2 2 5" xfId="3115"/>
    <cellStyle name="Normal 5 3 4 2 2 3" xfId="1055"/>
    <cellStyle name="Normal 5 3 4 2 2 3 2" xfId="1607"/>
    <cellStyle name="Normal 5 3 4 2 2 3 2 2" xfId="2703"/>
    <cellStyle name="Normal 5 3 4 2 2 3 2 2 2" xfId="4896"/>
    <cellStyle name="Normal 5 3 4 2 2 3 2 3" xfId="3800"/>
    <cellStyle name="Normal 5 3 4 2 2 3 3" xfId="2155"/>
    <cellStyle name="Normal 5 3 4 2 2 3 3 2" xfId="4348"/>
    <cellStyle name="Normal 5 3 4 2 2 3 4" xfId="3252"/>
    <cellStyle name="Normal 5 3 4 2 2 4" xfId="1333"/>
    <cellStyle name="Normal 5 3 4 2 2 4 2" xfId="2429"/>
    <cellStyle name="Normal 5 3 4 2 2 4 2 2" xfId="4622"/>
    <cellStyle name="Normal 5 3 4 2 2 4 3" xfId="3526"/>
    <cellStyle name="Normal 5 3 4 2 2 5" xfId="1881"/>
    <cellStyle name="Normal 5 3 4 2 2 5 2" xfId="4074"/>
    <cellStyle name="Normal 5 3 4 2 2 6" xfId="2978"/>
    <cellStyle name="Normal 5 3 4 2 3" xfId="849"/>
    <cellStyle name="Normal 5 3 4 2 3 2" xfId="1124"/>
    <cellStyle name="Normal 5 3 4 2 3 2 2" xfId="1676"/>
    <cellStyle name="Normal 5 3 4 2 3 2 2 2" xfId="2772"/>
    <cellStyle name="Normal 5 3 4 2 3 2 2 2 2" xfId="4965"/>
    <cellStyle name="Normal 5 3 4 2 3 2 2 3" xfId="3869"/>
    <cellStyle name="Normal 5 3 4 2 3 2 3" xfId="2224"/>
    <cellStyle name="Normal 5 3 4 2 3 2 3 2" xfId="4417"/>
    <cellStyle name="Normal 5 3 4 2 3 2 4" xfId="3321"/>
    <cellStyle name="Normal 5 3 4 2 3 3" xfId="1402"/>
    <cellStyle name="Normal 5 3 4 2 3 3 2" xfId="2498"/>
    <cellStyle name="Normal 5 3 4 2 3 3 2 2" xfId="4691"/>
    <cellStyle name="Normal 5 3 4 2 3 3 3" xfId="3595"/>
    <cellStyle name="Normal 5 3 4 2 3 4" xfId="1950"/>
    <cellStyle name="Normal 5 3 4 2 3 4 2" xfId="4143"/>
    <cellStyle name="Normal 5 3 4 2 3 5" xfId="3047"/>
    <cellStyle name="Normal 5 3 4 2 4" xfId="987"/>
    <cellStyle name="Normal 5 3 4 2 4 2" xfId="1539"/>
    <cellStyle name="Normal 5 3 4 2 4 2 2" xfId="2635"/>
    <cellStyle name="Normal 5 3 4 2 4 2 2 2" xfId="4828"/>
    <cellStyle name="Normal 5 3 4 2 4 2 3" xfId="3732"/>
    <cellStyle name="Normal 5 3 4 2 4 3" xfId="2087"/>
    <cellStyle name="Normal 5 3 4 2 4 3 2" xfId="4280"/>
    <cellStyle name="Normal 5 3 4 2 4 4" xfId="3184"/>
    <cellStyle name="Normal 5 3 4 2 5" xfId="1265"/>
    <cellStyle name="Normal 5 3 4 2 5 2" xfId="2361"/>
    <cellStyle name="Normal 5 3 4 2 5 2 2" xfId="4554"/>
    <cellStyle name="Normal 5 3 4 2 5 3" xfId="3458"/>
    <cellStyle name="Normal 5 3 4 2 6" xfId="1813"/>
    <cellStyle name="Normal 5 3 4 2 6 2" xfId="4006"/>
    <cellStyle name="Normal 5 3 4 2 7" xfId="2910"/>
    <cellStyle name="Normal 5 3 4 3" xfId="748"/>
    <cellStyle name="Normal 5 3 4 3 2" xfId="885"/>
    <cellStyle name="Normal 5 3 4 3 2 2" xfId="1160"/>
    <cellStyle name="Normal 5 3 4 3 2 2 2" xfId="1712"/>
    <cellStyle name="Normal 5 3 4 3 2 2 2 2" xfId="2808"/>
    <cellStyle name="Normal 5 3 4 3 2 2 2 2 2" xfId="5001"/>
    <cellStyle name="Normal 5 3 4 3 2 2 2 3" xfId="3905"/>
    <cellStyle name="Normal 5 3 4 3 2 2 3" xfId="2260"/>
    <cellStyle name="Normal 5 3 4 3 2 2 3 2" xfId="4453"/>
    <cellStyle name="Normal 5 3 4 3 2 2 4" xfId="3357"/>
    <cellStyle name="Normal 5 3 4 3 2 3" xfId="1438"/>
    <cellStyle name="Normal 5 3 4 3 2 3 2" xfId="2534"/>
    <cellStyle name="Normal 5 3 4 3 2 3 2 2" xfId="4727"/>
    <cellStyle name="Normal 5 3 4 3 2 3 3" xfId="3631"/>
    <cellStyle name="Normal 5 3 4 3 2 4" xfId="1986"/>
    <cellStyle name="Normal 5 3 4 3 2 4 2" xfId="4179"/>
    <cellStyle name="Normal 5 3 4 3 2 5" xfId="3083"/>
    <cellStyle name="Normal 5 3 4 3 3" xfId="1023"/>
    <cellStyle name="Normal 5 3 4 3 3 2" xfId="1575"/>
    <cellStyle name="Normal 5 3 4 3 3 2 2" xfId="2671"/>
    <cellStyle name="Normal 5 3 4 3 3 2 2 2" xfId="4864"/>
    <cellStyle name="Normal 5 3 4 3 3 2 3" xfId="3768"/>
    <cellStyle name="Normal 5 3 4 3 3 3" xfId="2123"/>
    <cellStyle name="Normal 5 3 4 3 3 3 2" xfId="4316"/>
    <cellStyle name="Normal 5 3 4 3 3 4" xfId="3220"/>
    <cellStyle name="Normal 5 3 4 3 4" xfId="1301"/>
    <cellStyle name="Normal 5 3 4 3 4 2" xfId="2397"/>
    <cellStyle name="Normal 5 3 4 3 4 2 2" xfId="4590"/>
    <cellStyle name="Normal 5 3 4 3 4 3" xfId="3494"/>
    <cellStyle name="Normal 5 3 4 3 5" xfId="1849"/>
    <cellStyle name="Normal 5 3 4 3 5 2" xfId="4042"/>
    <cellStyle name="Normal 5 3 4 3 6" xfId="2946"/>
    <cellStyle name="Normal 5 3 4 4" xfId="817"/>
    <cellStyle name="Normal 5 3 4 4 2" xfId="1092"/>
    <cellStyle name="Normal 5 3 4 4 2 2" xfId="1644"/>
    <cellStyle name="Normal 5 3 4 4 2 2 2" xfId="2740"/>
    <cellStyle name="Normal 5 3 4 4 2 2 2 2" xfId="4933"/>
    <cellStyle name="Normal 5 3 4 4 2 2 3" xfId="3837"/>
    <cellStyle name="Normal 5 3 4 4 2 3" xfId="2192"/>
    <cellStyle name="Normal 5 3 4 4 2 3 2" xfId="4385"/>
    <cellStyle name="Normal 5 3 4 4 2 4" xfId="3289"/>
    <cellStyle name="Normal 5 3 4 4 3" xfId="1370"/>
    <cellStyle name="Normal 5 3 4 4 3 2" xfId="2466"/>
    <cellStyle name="Normal 5 3 4 4 3 2 2" xfId="4659"/>
    <cellStyle name="Normal 5 3 4 4 3 3" xfId="3563"/>
    <cellStyle name="Normal 5 3 4 4 4" xfId="1918"/>
    <cellStyle name="Normal 5 3 4 4 4 2" xfId="4111"/>
    <cellStyle name="Normal 5 3 4 4 5" xfId="3015"/>
    <cellStyle name="Normal 5 3 4 5" xfId="955"/>
    <cellStyle name="Normal 5 3 4 5 2" xfId="1507"/>
    <cellStyle name="Normal 5 3 4 5 2 2" xfId="2603"/>
    <cellStyle name="Normal 5 3 4 5 2 2 2" xfId="4796"/>
    <cellStyle name="Normal 5 3 4 5 2 3" xfId="3700"/>
    <cellStyle name="Normal 5 3 4 5 3" xfId="2055"/>
    <cellStyle name="Normal 5 3 4 5 3 2" xfId="4248"/>
    <cellStyle name="Normal 5 3 4 5 4" xfId="3152"/>
    <cellStyle name="Normal 5 3 4 6" xfId="1233"/>
    <cellStyle name="Normal 5 3 4 6 2" xfId="2329"/>
    <cellStyle name="Normal 5 3 4 6 2 2" xfId="4522"/>
    <cellStyle name="Normal 5 3 4 6 3" xfId="3426"/>
    <cellStyle name="Normal 5 3 4 7" xfId="1781"/>
    <cellStyle name="Normal 5 3 4 7 2" xfId="3974"/>
    <cellStyle name="Normal 5 3 4 8" xfId="2878"/>
    <cellStyle name="Normal 5 3 5" xfId="694"/>
    <cellStyle name="Normal 5 3 5 2" xfId="764"/>
    <cellStyle name="Normal 5 3 5 2 2" xfId="901"/>
    <cellStyle name="Normal 5 3 5 2 2 2" xfId="1176"/>
    <cellStyle name="Normal 5 3 5 2 2 2 2" xfId="1728"/>
    <cellStyle name="Normal 5 3 5 2 2 2 2 2" xfId="2824"/>
    <cellStyle name="Normal 5 3 5 2 2 2 2 2 2" xfId="5017"/>
    <cellStyle name="Normal 5 3 5 2 2 2 2 3" xfId="3921"/>
    <cellStyle name="Normal 5 3 5 2 2 2 3" xfId="2276"/>
    <cellStyle name="Normal 5 3 5 2 2 2 3 2" xfId="4469"/>
    <cellStyle name="Normal 5 3 5 2 2 2 4" xfId="3373"/>
    <cellStyle name="Normal 5 3 5 2 2 3" xfId="1454"/>
    <cellStyle name="Normal 5 3 5 2 2 3 2" xfId="2550"/>
    <cellStyle name="Normal 5 3 5 2 2 3 2 2" xfId="4743"/>
    <cellStyle name="Normal 5 3 5 2 2 3 3" xfId="3647"/>
    <cellStyle name="Normal 5 3 5 2 2 4" xfId="2002"/>
    <cellStyle name="Normal 5 3 5 2 2 4 2" xfId="4195"/>
    <cellStyle name="Normal 5 3 5 2 2 5" xfId="3099"/>
    <cellStyle name="Normal 5 3 5 2 3" xfId="1039"/>
    <cellStyle name="Normal 5 3 5 2 3 2" xfId="1591"/>
    <cellStyle name="Normal 5 3 5 2 3 2 2" xfId="2687"/>
    <cellStyle name="Normal 5 3 5 2 3 2 2 2" xfId="4880"/>
    <cellStyle name="Normal 5 3 5 2 3 2 3" xfId="3784"/>
    <cellStyle name="Normal 5 3 5 2 3 3" xfId="2139"/>
    <cellStyle name="Normal 5 3 5 2 3 3 2" xfId="4332"/>
    <cellStyle name="Normal 5 3 5 2 3 4" xfId="3236"/>
    <cellStyle name="Normal 5 3 5 2 4" xfId="1317"/>
    <cellStyle name="Normal 5 3 5 2 4 2" xfId="2413"/>
    <cellStyle name="Normal 5 3 5 2 4 2 2" xfId="4606"/>
    <cellStyle name="Normal 5 3 5 2 4 3" xfId="3510"/>
    <cellStyle name="Normal 5 3 5 2 5" xfId="1865"/>
    <cellStyle name="Normal 5 3 5 2 5 2" xfId="4058"/>
    <cellStyle name="Normal 5 3 5 2 6" xfId="2962"/>
    <cellStyle name="Normal 5 3 5 3" xfId="833"/>
    <cellStyle name="Normal 5 3 5 3 2" xfId="1108"/>
    <cellStyle name="Normal 5 3 5 3 2 2" xfId="1660"/>
    <cellStyle name="Normal 5 3 5 3 2 2 2" xfId="2756"/>
    <cellStyle name="Normal 5 3 5 3 2 2 2 2" xfId="4949"/>
    <cellStyle name="Normal 5 3 5 3 2 2 3" xfId="3853"/>
    <cellStyle name="Normal 5 3 5 3 2 3" xfId="2208"/>
    <cellStyle name="Normal 5 3 5 3 2 3 2" xfId="4401"/>
    <cellStyle name="Normal 5 3 5 3 2 4" xfId="3305"/>
    <cellStyle name="Normal 5 3 5 3 3" xfId="1386"/>
    <cellStyle name="Normal 5 3 5 3 3 2" xfId="2482"/>
    <cellStyle name="Normal 5 3 5 3 3 2 2" xfId="4675"/>
    <cellStyle name="Normal 5 3 5 3 3 3" xfId="3579"/>
    <cellStyle name="Normal 5 3 5 3 4" xfId="1934"/>
    <cellStyle name="Normal 5 3 5 3 4 2" xfId="4127"/>
    <cellStyle name="Normal 5 3 5 3 5" xfId="3031"/>
    <cellStyle name="Normal 5 3 5 4" xfId="971"/>
    <cellStyle name="Normal 5 3 5 4 2" xfId="1523"/>
    <cellStyle name="Normal 5 3 5 4 2 2" xfId="2619"/>
    <cellStyle name="Normal 5 3 5 4 2 2 2" xfId="4812"/>
    <cellStyle name="Normal 5 3 5 4 2 3" xfId="3716"/>
    <cellStyle name="Normal 5 3 5 4 3" xfId="2071"/>
    <cellStyle name="Normal 5 3 5 4 3 2" xfId="4264"/>
    <cellStyle name="Normal 5 3 5 4 4" xfId="3168"/>
    <cellStyle name="Normal 5 3 5 5" xfId="1249"/>
    <cellStyle name="Normal 5 3 5 5 2" xfId="2345"/>
    <cellStyle name="Normal 5 3 5 5 2 2" xfId="4538"/>
    <cellStyle name="Normal 5 3 5 5 3" xfId="3442"/>
    <cellStyle name="Normal 5 3 5 6" xfId="1797"/>
    <cellStyle name="Normal 5 3 5 6 2" xfId="3990"/>
    <cellStyle name="Normal 5 3 5 7" xfId="2894"/>
    <cellStyle name="Normal 5 3 6" xfId="732"/>
    <cellStyle name="Normal 5 3 6 2" xfId="869"/>
    <cellStyle name="Normal 5 3 6 2 2" xfId="1144"/>
    <cellStyle name="Normal 5 3 6 2 2 2" xfId="1696"/>
    <cellStyle name="Normal 5 3 6 2 2 2 2" xfId="2792"/>
    <cellStyle name="Normal 5 3 6 2 2 2 2 2" xfId="4985"/>
    <cellStyle name="Normal 5 3 6 2 2 2 3" xfId="3889"/>
    <cellStyle name="Normal 5 3 6 2 2 3" xfId="2244"/>
    <cellStyle name="Normal 5 3 6 2 2 3 2" xfId="4437"/>
    <cellStyle name="Normal 5 3 6 2 2 4" xfId="3341"/>
    <cellStyle name="Normal 5 3 6 2 3" xfId="1422"/>
    <cellStyle name="Normal 5 3 6 2 3 2" xfId="2518"/>
    <cellStyle name="Normal 5 3 6 2 3 2 2" xfId="4711"/>
    <cellStyle name="Normal 5 3 6 2 3 3" xfId="3615"/>
    <cellStyle name="Normal 5 3 6 2 4" xfId="1970"/>
    <cellStyle name="Normal 5 3 6 2 4 2" xfId="4163"/>
    <cellStyle name="Normal 5 3 6 2 5" xfId="3067"/>
    <cellStyle name="Normal 5 3 6 3" xfId="1007"/>
    <cellStyle name="Normal 5 3 6 3 2" xfId="1559"/>
    <cellStyle name="Normal 5 3 6 3 2 2" xfId="2655"/>
    <cellStyle name="Normal 5 3 6 3 2 2 2" xfId="4848"/>
    <cellStyle name="Normal 5 3 6 3 2 3" xfId="3752"/>
    <cellStyle name="Normal 5 3 6 3 3" xfId="2107"/>
    <cellStyle name="Normal 5 3 6 3 3 2" xfId="4300"/>
    <cellStyle name="Normal 5 3 6 3 4" xfId="3204"/>
    <cellStyle name="Normal 5 3 6 4" xfId="1285"/>
    <cellStyle name="Normal 5 3 6 4 2" xfId="2381"/>
    <cellStyle name="Normal 5 3 6 4 2 2" xfId="4574"/>
    <cellStyle name="Normal 5 3 6 4 3" xfId="3478"/>
    <cellStyle name="Normal 5 3 6 5" xfId="1833"/>
    <cellStyle name="Normal 5 3 6 5 2" xfId="4026"/>
    <cellStyle name="Normal 5 3 6 6" xfId="2930"/>
    <cellStyle name="Normal 5 3 7" xfId="800"/>
    <cellStyle name="Normal 5 3 7 2" xfId="1075"/>
    <cellStyle name="Normal 5 3 7 2 2" xfId="1627"/>
    <cellStyle name="Normal 5 3 7 2 2 2" xfId="2723"/>
    <cellStyle name="Normal 5 3 7 2 2 2 2" xfId="4916"/>
    <cellStyle name="Normal 5 3 7 2 2 3" xfId="3820"/>
    <cellStyle name="Normal 5 3 7 2 3" xfId="2175"/>
    <cellStyle name="Normal 5 3 7 2 3 2" xfId="4368"/>
    <cellStyle name="Normal 5 3 7 2 4" xfId="3272"/>
    <cellStyle name="Normal 5 3 7 3" xfId="1353"/>
    <cellStyle name="Normal 5 3 7 3 2" xfId="2449"/>
    <cellStyle name="Normal 5 3 7 3 2 2" xfId="4642"/>
    <cellStyle name="Normal 5 3 7 3 3" xfId="3546"/>
    <cellStyle name="Normal 5 3 7 4" xfId="1901"/>
    <cellStyle name="Normal 5 3 7 4 2" xfId="4094"/>
    <cellStyle name="Normal 5 3 7 5" xfId="2998"/>
    <cellStyle name="Normal 5 3 8" xfId="938"/>
    <cellStyle name="Normal 5 3 8 2" xfId="1490"/>
    <cellStyle name="Normal 5 3 8 2 2" xfId="2586"/>
    <cellStyle name="Normal 5 3 8 2 2 2" xfId="4779"/>
    <cellStyle name="Normal 5 3 8 2 3" xfId="3683"/>
    <cellStyle name="Normal 5 3 8 3" xfId="2038"/>
    <cellStyle name="Normal 5 3 8 3 2" xfId="4231"/>
    <cellStyle name="Normal 5 3 8 4" xfId="3135"/>
    <cellStyle name="Normal 5 3 9" xfId="1216"/>
    <cellStyle name="Normal 5 3 9 2" xfId="2312"/>
    <cellStyle name="Normal 5 3 9 2 2" xfId="4505"/>
    <cellStyle name="Normal 5 3 9 3" xfId="3409"/>
    <cellStyle name="Normal 5 4" xfId="445"/>
    <cellStyle name="Normal 5 4 10" xfId="2865"/>
    <cellStyle name="Normal 5 4 2" xfId="665"/>
    <cellStyle name="Normal 5 4 2 2" xfId="685"/>
    <cellStyle name="Normal 5 4 2 2 2" xfId="721"/>
    <cellStyle name="Normal 5 4 2 2 2 2" xfId="791"/>
    <cellStyle name="Normal 5 4 2 2 2 2 2" xfId="928"/>
    <cellStyle name="Normal 5 4 2 2 2 2 2 2" xfId="1203"/>
    <cellStyle name="Normal 5 4 2 2 2 2 2 2 2" xfId="1755"/>
    <cellStyle name="Normal 5 4 2 2 2 2 2 2 2 2" xfId="2851"/>
    <cellStyle name="Normal 5 4 2 2 2 2 2 2 2 2 2" xfId="5044"/>
    <cellStyle name="Normal 5 4 2 2 2 2 2 2 2 3" xfId="3948"/>
    <cellStyle name="Normal 5 4 2 2 2 2 2 2 3" xfId="2303"/>
    <cellStyle name="Normal 5 4 2 2 2 2 2 2 3 2" xfId="4496"/>
    <cellStyle name="Normal 5 4 2 2 2 2 2 2 4" xfId="3400"/>
    <cellStyle name="Normal 5 4 2 2 2 2 2 3" xfId="1481"/>
    <cellStyle name="Normal 5 4 2 2 2 2 2 3 2" xfId="2577"/>
    <cellStyle name="Normal 5 4 2 2 2 2 2 3 2 2" xfId="4770"/>
    <cellStyle name="Normal 5 4 2 2 2 2 2 3 3" xfId="3674"/>
    <cellStyle name="Normal 5 4 2 2 2 2 2 4" xfId="2029"/>
    <cellStyle name="Normal 5 4 2 2 2 2 2 4 2" xfId="4222"/>
    <cellStyle name="Normal 5 4 2 2 2 2 2 5" xfId="3126"/>
    <cellStyle name="Normal 5 4 2 2 2 2 3" xfId="1066"/>
    <cellStyle name="Normal 5 4 2 2 2 2 3 2" xfId="1618"/>
    <cellStyle name="Normal 5 4 2 2 2 2 3 2 2" xfId="2714"/>
    <cellStyle name="Normal 5 4 2 2 2 2 3 2 2 2" xfId="4907"/>
    <cellStyle name="Normal 5 4 2 2 2 2 3 2 3" xfId="3811"/>
    <cellStyle name="Normal 5 4 2 2 2 2 3 3" xfId="2166"/>
    <cellStyle name="Normal 5 4 2 2 2 2 3 3 2" xfId="4359"/>
    <cellStyle name="Normal 5 4 2 2 2 2 3 4" xfId="3263"/>
    <cellStyle name="Normal 5 4 2 2 2 2 4" xfId="1344"/>
    <cellStyle name="Normal 5 4 2 2 2 2 4 2" xfId="2440"/>
    <cellStyle name="Normal 5 4 2 2 2 2 4 2 2" xfId="4633"/>
    <cellStyle name="Normal 5 4 2 2 2 2 4 3" xfId="3537"/>
    <cellStyle name="Normal 5 4 2 2 2 2 5" xfId="1892"/>
    <cellStyle name="Normal 5 4 2 2 2 2 5 2" xfId="4085"/>
    <cellStyle name="Normal 5 4 2 2 2 2 6" xfId="2989"/>
    <cellStyle name="Normal 5 4 2 2 2 3" xfId="860"/>
    <cellStyle name="Normal 5 4 2 2 2 3 2" xfId="1135"/>
    <cellStyle name="Normal 5 4 2 2 2 3 2 2" xfId="1687"/>
    <cellStyle name="Normal 5 4 2 2 2 3 2 2 2" xfId="2783"/>
    <cellStyle name="Normal 5 4 2 2 2 3 2 2 2 2" xfId="4976"/>
    <cellStyle name="Normal 5 4 2 2 2 3 2 2 3" xfId="3880"/>
    <cellStyle name="Normal 5 4 2 2 2 3 2 3" xfId="2235"/>
    <cellStyle name="Normal 5 4 2 2 2 3 2 3 2" xfId="4428"/>
    <cellStyle name="Normal 5 4 2 2 2 3 2 4" xfId="3332"/>
    <cellStyle name="Normal 5 4 2 2 2 3 3" xfId="1413"/>
    <cellStyle name="Normal 5 4 2 2 2 3 3 2" xfId="2509"/>
    <cellStyle name="Normal 5 4 2 2 2 3 3 2 2" xfId="4702"/>
    <cellStyle name="Normal 5 4 2 2 2 3 3 3" xfId="3606"/>
    <cellStyle name="Normal 5 4 2 2 2 3 4" xfId="1961"/>
    <cellStyle name="Normal 5 4 2 2 2 3 4 2" xfId="4154"/>
    <cellStyle name="Normal 5 4 2 2 2 3 5" xfId="3058"/>
    <cellStyle name="Normal 5 4 2 2 2 4" xfId="998"/>
    <cellStyle name="Normal 5 4 2 2 2 4 2" xfId="1550"/>
    <cellStyle name="Normal 5 4 2 2 2 4 2 2" xfId="2646"/>
    <cellStyle name="Normal 5 4 2 2 2 4 2 2 2" xfId="4839"/>
    <cellStyle name="Normal 5 4 2 2 2 4 2 3" xfId="3743"/>
    <cellStyle name="Normal 5 4 2 2 2 4 3" xfId="2098"/>
    <cellStyle name="Normal 5 4 2 2 2 4 3 2" xfId="4291"/>
    <cellStyle name="Normal 5 4 2 2 2 4 4" xfId="3195"/>
    <cellStyle name="Normal 5 4 2 2 2 5" xfId="1276"/>
    <cellStyle name="Normal 5 4 2 2 2 5 2" xfId="2372"/>
    <cellStyle name="Normal 5 4 2 2 2 5 2 2" xfId="4565"/>
    <cellStyle name="Normal 5 4 2 2 2 5 3" xfId="3469"/>
    <cellStyle name="Normal 5 4 2 2 2 6" xfId="1824"/>
    <cellStyle name="Normal 5 4 2 2 2 6 2" xfId="4017"/>
    <cellStyle name="Normal 5 4 2 2 2 7" xfId="2921"/>
    <cellStyle name="Normal 5 4 2 2 3" xfId="759"/>
    <cellStyle name="Normal 5 4 2 2 3 2" xfId="896"/>
    <cellStyle name="Normal 5 4 2 2 3 2 2" xfId="1171"/>
    <cellStyle name="Normal 5 4 2 2 3 2 2 2" xfId="1723"/>
    <cellStyle name="Normal 5 4 2 2 3 2 2 2 2" xfId="2819"/>
    <cellStyle name="Normal 5 4 2 2 3 2 2 2 2 2" xfId="5012"/>
    <cellStyle name="Normal 5 4 2 2 3 2 2 2 3" xfId="3916"/>
    <cellStyle name="Normal 5 4 2 2 3 2 2 3" xfId="2271"/>
    <cellStyle name="Normal 5 4 2 2 3 2 2 3 2" xfId="4464"/>
    <cellStyle name="Normal 5 4 2 2 3 2 2 4" xfId="3368"/>
    <cellStyle name="Normal 5 4 2 2 3 2 3" xfId="1449"/>
    <cellStyle name="Normal 5 4 2 2 3 2 3 2" xfId="2545"/>
    <cellStyle name="Normal 5 4 2 2 3 2 3 2 2" xfId="4738"/>
    <cellStyle name="Normal 5 4 2 2 3 2 3 3" xfId="3642"/>
    <cellStyle name="Normal 5 4 2 2 3 2 4" xfId="1997"/>
    <cellStyle name="Normal 5 4 2 2 3 2 4 2" xfId="4190"/>
    <cellStyle name="Normal 5 4 2 2 3 2 5" xfId="3094"/>
    <cellStyle name="Normal 5 4 2 2 3 3" xfId="1034"/>
    <cellStyle name="Normal 5 4 2 2 3 3 2" xfId="1586"/>
    <cellStyle name="Normal 5 4 2 2 3 3 2 2" xfId="2682"/>
    <cellStyle name="Normal 5 4 2 2 3 3 2 2 2" xfId="4875"/>
    <cellStyle name="Normal 5 4 2 2 3 3 2 3" xfId="3779"/>
    <cellStyle name="Normal 5 4 2 2 3 3 3" xfId="2134"/>
    <cellStyle name="Normal 5 4 2 2 3 3 3 2" xfId="4327"/>
    <cellStyle name="Normal 5 4 2 2 3 3 4" xfId="3231"/>
    <cellStyle name="Normal 5 4 2 2 3 4" xfId="1312"/>
    <cellStyle name="Normal 5 4 2 2 3 4 2" xfId="2408"/>
    <cellStyle name="Normal 5 4 2 2 3 4 2 2" xfId="4601"/>
    <cellStyle name="Normal 5 4 2 2 3 4 3" xfId="3505"/>
    <cellStyle name="Normal 5 4 2 2 3 5" xfId="1860"/>
    <cellStyle name="Normal 5 4 2 2 3 5 2" xfId="4053"/>
    <cellStyle name="Normal 5 4 2 2 3 6" xfId="2957"/>
    <cellStyle name="Normal 5 4 2 2 4" xfId="828"/>
    <cellStyle name="Normal 5 4 2 2 4 2" xfId="1103"/>
    <cellStyle name="Normal 5 4 2 2 4 2 2" xfId="1655"/>
    <cellStyle name="Normal 5 4 2 2 4 2 2 2" xfId="2751"/>
    <cellStyle name="Normal 5 4 2 2 4 2 2 2 2" xfId="4944"/>
    <cellStyle name="Normal 5 4 2 2 4 2 2 3" xfId="3848"/>
    <cellStyle name="Normal 5 4 2 2 4 2 3" xfId="2203"/>
    <cellStyle name="Normal 5 4 2 2 4 2 3 2" xfId="4396"/>
    <cellStyle name="Normal 5 4 2 2 4 2 4" xfId="3300"/>
    <cellStyle name="Normal 5 4 2 2 4 3" xfId="1381"/>
    <cellStyle name="Normal 5 4 2 2 4 3 2" xfId="2477"/>
    <cellStyle name="Normal 5 4 2 2 4 3 2 2" xfId="4670"/>
    <cellStyle name="Normal 5 4 2 2 4 3 3" xfId="3574"/>
    <cellStyle name="Normal 5 4 2 2 4 4" xfId="1929"/>
    <cellStyle name="Normal 5 4 2 2 4 4 2" xfId="4122"/>
    <cellStyle name="Normal 5 4 2 2 4 5" xfId="3026"/>
    <cellStyle name="Normal 5 4 2 2 5" xfId="966"/>
    <cellStyle name="Normal 5 4 2 2 5 2" xfId="1518"/>
    <cellStyle name="Normal 5 4 2 2 5 2 2" xfId="2614"/>
    <cellStyle name="Normal 5 4 2 2 5 2 2 2" xfId="4807"/>
    <cellStyle name="Normal 5 4 2 2 5 2 3" xfId="3711"/>
    <cellStyle name="Normal 5 4 2 2 5 3" xfId="2066"/>
    <cellStyle name="Normal 5 4 2 2 5 3 2" xfId="4259"/>
    <cellStyle name="Normal 5 4 2 2 5 4" xfId="3163"/>
    <cellStyle name="Normal 5 4 2 2 6" xfId="1244"/>
    <cellStyle name="Normal 5 4 2 2 6 2" xfId="2340"/>
    <cellStyle name="Normal 5 4 2 2 6 2 2" xfId="4533"/>
    <cellStyle name="Normal 5 4 2 2 6 3" xfId="3437"/>
    <cellStyle name="Normal 5 4 2 2 7" xfId="1792"/>
    <cellStyle name="Normal 5 4 2 2 7 2" xfId="3985"/>
    <cellStyle name="Normal 5 4 2 2 8" xfId="2889"/>
    <cellStyle name="Normal 5 4 2 3" xfId="705"/>
    <cellStyle name="Normal 5 4 2 3 2" xfId="775"/>
    <cellStyle name="Normal 5 4 2 3 2 2" xfId="912"/>
    <cellStyle name="Normal 5 4 2 3 2 2 2" xfId="1187"/>
    <cellStyle name="Normal 5 4 2 3 2 2 2 2" xfId="1739"/>
    <cellStyle name="Normal 5 4 2 3 2 2 2 2 2" xfId="2835"/>
    <cellStyle name="Normal 5 4 2 3 2 2 2 2 2 2" xfId="5028"/>
    <cellStyle name="Normal 5 4 2 3 2 2 2 2 3" xfId="3932"/>
    <cellStyle name="Normal 5 4 2 3 2 2 2 3" xfId="2287"/>
    <cellStyle name="Normal 5 4 2 3 2 2 2 3 2" xfId="4480"/>
    <cellStyle name="Normal 5 4 2 3 2 2 2 4" xfId="3384"/>
    <cellStyle name="Normal 5 4 2 3 2 2 3" xfId="1465"/>
    <cellStyle name="Normal 5 4 2 3 2 2 3 2" xfId="2561"/>
    <cellStyle name="Normal 5 4 2 3 2 2 3 2 2" xfId="4754"/>
    <cellStyle name="Normal 5 4 2 3 2 2 3 3" xfId="3658"/>
    <cellStyle name="Normal 5 4 2 3 2 2 4" xfId="2013"/>
    <cellStyle name="Normal 5 4 2 3 2 2 4 2" xfId="4206"/>
    <cellStyle name="Normal 5 4 2 3 2 2 5" xfId="3110"/>
    <cellStyle name="Normal 5 4 2 3 2 3" xfId="1050"/>
    <cellStyle name="Normal 5 4 2 3 2 3 2" xfId="1602"/>
    <cellStyle name="Normal 5 4 2 3 2 3 2 2" xfId="2698"/>
    <cellStyle name="Normal 5 4 2 3 2 3 2 2 2" xfId="4891"/>
    <cellStyle name="Normal 5 4 2 3 2 3 2 3" xfId="3795"/>
    <cellStyle name="Normal 5 4 2 3 2 3 3" xfId="2150"/>
    <cellStyle name="Normal 5 4 2 3 2 3 3 2" xfId="4343"/>
    <cellStyle name="Normal 5 4 2 3 2 3 4" xfId="3247"/>
    <cellStyle name="Normal 5 4 2 3 2 4" xfId="1328"/>
    <cellStyle name="Normal 5 4 2 3 2 4 2" xfId="2424"/>
    <cellStyle name="Normal 5 4 2 3 2 4 2 2" xfId="4617"/>
    <cellStyle name="Normal 5 4 2 3 2 4 3" xfId="3521"/>
    <cellStyle name="Normal 5 4 2 3 2 5" xfId="1876"/>
    <cellStyle name="Normal 5 4 2 3 2 5 2" xfId="4069"/>
    <cellStyle name="Normal 5 4 2 3 2 6" xfId="2973"/>
    <cellStyle name="Normal 5 4 2 3 3" xfId="844"/>
    <cellStyle name="Normal 5 4 2 3 3 2" xfId="1119"/>
    <cellStyle name="Normal 5 4 2 3 3 2 2" xfId="1671"/>
    <cellStyle name="Normal 5 4 2 3 3 2 2 2" xfId="2767"/>
    <cellStyle name="Normal 5 4 2 3 3 2 2 2 2" xfId="4960"/>
    <cellStyle name="Normal 5 4 2 3 3 2 2 3" xfId="3864"/>
    <cellStyle name="Normal 5 4 2 3 3 2 3" xfId="2219"/>
    <cellStyle name="Normal 5 4 2 3 3 2 3 2" xfId="4412"/>
    <cellStyle name="Normal 5 4 2 3 3 2 4" xfId="3316"/>
    <cellStyle name="Normal 5 4 2 3 3 3" xfId="1397"/>
    <cellStyle name="Normal 5 4 2 3 3 3 2" xfId="2493"/>
    <cellStyle name="Normal 5 4 2 3 3 3 2 2" xfId="4686"/>
    <cellStyle name="Normal 5 4 2 3 3 3 3" xfId="3590"/>
    <cellStyle name="Normal 5 4 2 3 3 4" xfId="1945"/>
    <cellStyle name="Normal 5 4 2 3 3 4 2" xfId="4138"/>
    <cellStyle name="Normal 5 4 2 3 3 5" xfId="3042"/>
    <cellStyle name="Normal 5 4 2 3 4" xfId="982"/>
    <cellStyle name="Normal 5 4 2 3 4 2" xfId="1534"/>
    <cellStyle name="Normal 5 4 2 3 4 2 2" xfId="2630"/>
    <cellStyle name="Normal 5 4 2 3 4 2 2 2" xfId="4823"/>
    <cellStyle name="Normal 5 4 2 3 4 2 3" xfId="3727"/>
    <cellStyle name="Normal 5 4 2 3 4 3" xfId="2082"/>
    <cellStyle name="Normal 5 4 2 3 4 3 2" xfId="4275"/>
    <cellStyle name="Normal 5 4 2 3 4 4" xfId="3179"/>
    <cellStyle name="Normal 5 4 2 3 5" xfId="1260"/>
    <cellStyle name="Normal 5 4 2 3 5 2" xfId="2356"/>
    <cellStyle name="Normal 5 4 2 3 5 2 2" xfId="4549"/>
    <cellStyle name="Normal 5 4 2 3 5 3" xfId="3453"/>
    <cellStyle name="Normal 5 4 2 3 6" xfId="1808"/>
    <cellStyle name="Normal 5 4 2 3 6 2" xfId="4001"/>
    <cellStyle name="Normal 5 4 2 3 7" xfId="2905"/>
    <cellStyle name="Normal 5 4 2 4" xfId="743"/>
    <cellStyle name="Normal 5 4 2 4 2" xfId="880"/>
    <cellStyle name="Normal 5 4 2 4 2 2" xfId="1155"/>
    <cellStyle name="Normal 5 4 2 4 2 2 2" xfId="1707"/>
    <cellStyle name="Normal 5 4 2 4 2 2 2 2" xfId="2803"/>
    <cellStyle name="Normal 5 4 2 4 2 2 2 2 2" xfId="4996"/>
    <cellStyle name="Normal 5 4 2 4 2 2 2 3" xfId="3900"/>
    <cellStyle name="Normal 5 4 2 4 2 2 3" xfId="2255"/>
    <cellStyle name="Normal 5 4 2 4 2 2 3 2" xfId="4448"/>
    <cellStyle name="Normal 5 4 2 4 2 2 4" xfId="3352"/>
    <cellStyle name="Normal 5 4 2 4 2 3" xfId="1433"/>
    <cellStyle name="Normal 5 4 2 4 2 3 2" xfId="2529"/>
    <cellStyle name="Normal 5 4 2 4 2 3 2 2" xfId="4722"/>
    <cellStyle name="Normal 5 4 2 4 2 3 3" xfId="3626"/>
    <cellStyle name="Normal 5 4 2 4 2 4" xfId="1981"/>
    <cellStyle name="Normal 5 4 2 4 2 4 2" xfId="4174"/>
    <cellStyle name="Normal 5 4 2 4 2 5" xfId="3078"/>
    <cellStyle name="Normal 5 4 2 4 3" xfId="1018"/>
    <cellStyle name="Normal 5 4 2 4 3 2" xfId="1570"/>
    <cellStyle name="Normal 5 4 2 4 3 2 2" xfId="2666"/>
    <cellStyle name="Normal 5 4 2 4 3 2 2 2" xfId="4859"/>
    <cellStyle name="Normal 5 4 2 4 3 2 3" xfId="3763"/>
    <cellStyle name="Normal 5 4 2 4 3 3" xfId="2118"/>
    <cellStyle name="Normal 5 4 2 4 3 3 2" xfId="4311"/>
    <cellStyle name="Normal 5 4 2 4 3 4" xfId="3215"/>
    <cellStyle name="Normal 5 4 2 4 4" xfId="1296"/>
    <cellStyle name="Normal 5 4 2 4 4 2" xfId="2392"/>
    <cellStyle name="Normal 5 4 2 4 4 2 2" xfId="4585"/>
    <cellStyle name="Normal 5 4 2 4 4 3" xfId="3489"/>
    <cellStyle name="Normal 5 4 2 4 5" xfId="1844"/>
    <cellStyle name="Normal 5 4 2 4 5 2" xfId="4037"/>
    <cellStyle name="Normal 5 4 2 4 6" xfId="2941"/>
    <cellStyle name="Normal 5 4 2 5" xfId="812"/>
    <cellStyle name="Normal 5 4 2 5 2" xfId="1087"/>
    <cellStyle name="Normal 5 4 2 5 2 2" xfId="1639"/>
    <cellStyle name="Normal 5 4 2 5 2 2 2" xfId="2735"/>
    <cellStyle name="Normal 5 4 2 5 2 2 2 2" xfId="4928"/>
    <cellStyle name="Normal 5 4 2 5 2 2 3" xfId="3832"/>
    <cellStyle name="Normal 5 4 2 5 2 3" xfId="2187"/>
    <cellStyle name="Normal 5 4 2 5 2 3 2" xfId="4380"/>
    <cellStyle name="Normal 5 4 2 5 2 4" xfId="3284"/>
    <cellStyle name="Normal 5 4 2 5 3" xfId="1365"/>
    <cellStyle name="Normal 5 4 2 5 3 2" xfId="2461"/>
    <cellStyle name="Normal 5 4 2 5 3 2 2" xfId="4654"/>
    <cellStyle name="Normal 5 4 2 5 3 3" xfId="3558"/>
    <cellStyle name="Normal 5 4 2 5 4" xfId="1913"/>
    <cellStyle name="Normal 5 4 2 5 4 2" xfId="4106"/>
    <cellStyle name="Normal 5 4 2 5 5" xfId="3010"/>
    <cellStyle name="Normal 5 4 2 6" xfId="950"/>
    <cellStyle name="Normal 5 4 2 6 2" xfId="1502"/>
    <cellStyle name="Normal 5 4 2 6 2 2" xfId="2598"/>
    <cellStyle name="Normal 5 4 2 6 2 2 2" xfId="4791"/>
    <cellStyle name="Normal 5 4 2 6 2 3" xfId="3695"/>
    <cellStyle name="Normal 5 4 2 6 3" xfId="2050"/>
    <cellStyle name="Normal 5 4 2 6 3 2" xfId="4243"/>
    <cellStyle name="Normal 5 4 2 6 4" xfId="3147"/>
    <cellStyle name="Normal 5 4 2 7" xfId="1228"/>
    <cellStyle name="Normal 5 4 2 7 2" xfId="2324"/>
    <cellStyle name="Normal 5 4 2 7 2 2" xfId="4517"/>
    <cellStyle name="Normal 5 4 2 7 3" xfId="3421"/>
    <cellStyle name="Normal 5 4 2 8" xfId="1776"/>
    <cellStyle name="Normal 5 4 2 8 2" xfId="3969"/>
    <cellStyle name="Normal 5 4 2 9" xfId="2873"/>
    <cellStyle name="Normal 5 4 3" xfId="677"/>
    <cellStyle name="Normal 5 4 3 2" xfId="713"/>
    <cellStyle name="Normal 5 4 3 2 2" xfId="783"/>
    <cellStyle name="Normal 5 4 3 2 2 2" xfId="920"/>
    <cellStyle name="Normal 5 4 3 2 2 2 2" xfId="1195"/>
    <cellStyle name="Normal 5 4 3 2 2 2 2 2" xfId="1747"/>
    <cellStyle name="Normal 5 4 3 2 2 2 2 2 2" xfId="2843"/>
    <cellStyle name="Normal 5 4 3 2 2 2 2 2 2 2" xfId="5036"/>
    <cellStyle name="Normal 5 4 3 2 2 2 2 2 3" xfId="3940"/>
    <cellStyle name="Normal 5 4 3 2 2 2 2 3" xfId="2295"/>
    <cellStyle name="Normal 5 4 3 2 2 2 2 3 2" xfId="4488"/>
    <cellStyle name="Normal 5 4 3 2 2 2 2 4" xfId="3392"/>
    <cellStyle name="Normal 5 4 3 2 2 2 3" xfId="1473"/>
    <cellStyle name="Normal 5 4 3 2 2 2 3 2" xfId="2569"/>
    <cellStyle name="Normal 5 4 3 2 2 2 3 2 2" xfId="4762"/>
    <cellStyle name="Normal 5 4 3 2 2 2 3 3" xfId="3666"/>
    <cellStyle name="Normal 5 4 3 2 2 2 4" xfId="2021"/>
    <cellStyle name="Normal 5 4 3 2 2 2 4 2" xfId="4214"/>
    <cellStyle name="Normal 5 4 3 2 2 2 5" xfId="3118"/>
    <cellStyle name="Normal 5 4 3 2 2 3" xfId="1058"/>
    <cellStyle name="Normal 5 4 3 2 2 3 2" xfId="1610"/>
    <cellStyle name="Normal 5 4 3 2 2 3 2 2" xfId="2706"/>
    <cellStyle name="Normal 5 4 3 2 2 3 2 2 2" xfId="4899"/>
    <cellStyle name="Normal 5 4 3 2 2 3 2 3" xfId="3803"/>
    <cellStyle name="Normal 5 4 3 2 2 3 3" xfId="2158"/>
    <cellStyle name="Normal 5 4 3 2 2 3 3 2" xfId="4351"/>
    <cellStyle name="Normal 5 4 3 2 2 3 4" xfId="3255"/>
    <cellStyle name="Normal 5 4 3 2 2 4" xfId="1336"/>
    <cellStyle name="Normal 5 4 3 2 2 4 2" xfId="2432"/>
    <cellStyle name="Normal 5 4 3 2 2 4 2 2" xfId="4625"/>
    <cellStyle name="Normal 5 4 3 2 2 4 3" xfId="3529"/>
    <cellStyle name="Normal 5 4 3 2 2 5" xfId="1884"/>
    <cellStyle name="Normal 5 4 3 2 2 5 2" xfId="4077"/>
    <cellStyle name="Normal 5 4 3 2 2 6" xfId="2981"/>
    <cellStyle name="Normal 5 4 3 2 3" xfId="852"/>
    <cellStyle name="Normal 5 4 3 2 3 2" xfId="1127"/>
    <cellStyle name="Normal 5 4 3 2 3 2 2" xfId="1679"/>
    <cellStyle name="Normal 5 4 3 2 3 2 2 2" xfId="2775"/>
    <cellStyle name="Normal 5 4 3 2 3 2 2 2 2" xfId="4968"/>
    <cellStyle name="Normal 5 4 3 2 3 2 2 3" xfId="3872"/>
    <cellStyle name="Normal 5 4 3 2 3 2 3" xfId="2227"/>
    <cellStyle name="Normal 5 4 3 2 3 2 3 2" xfId="4420"/>
    <cellStyle name="Normal 5 4 3 2 3 2 4" xfId="3324"/>
    <cellStyle name="Normal 5 4 3 2 3 3" xfId="1405"/>
    <cellStyle name="Normal 5 4 3 2 3 3 2" xfId="2501"/>
    <cellStyle name="Normal 5 4 3 2 3 3 2 2" xfId="4694"/>
    <cellStyle name="Normal 5 4 3 2 3 3 3" xfId="3598"/>
    <cellStyle name="Normal 5 4 3 2 3 4" xfId="1953"/>
    <cellStyle name="Normal 5 4 3 2 3 4 2" xfId="4146"/>
    <cellStyle name="Normal 5 4 3 2 3 5" xfId="3050"/>
    <cellStyle name="Normal 5 4 3 2 4" xfId="990"/>
    <cellStyle name="Normal 5 4 3 2 4 2" xfId="1542"/>
    <cellStyle name="Normal 5 4 3 2 4 2 2" xfId="2638"/>
    <cellStyle name="Normal 5 4 3 2 4 2 2 2" xfId="4831"/>
    <cellStyle name="Normal 5 4 3 2 4 2 3" xfId="3735"/>
    <cellStyle name="Normal 5 4 3 2 4 3" xfId="2090"/>
    <cellStyle name="Normal 5 4 3 2 4 3 2" xfId="4283"/>
    <cellStyle name="Normal 5 4 3 2 4 4" xfId="3187"/>
    <cellStyle name="Normal 5 4 3 2 5" xfId="1268"/>
    <cellStyle name="Normal 5 4 3 2 5 2" xfId="2364"/>
    <cellStyle name="Normal 5 4 3 2 5 2 2" xfId="4557"/>
    <cellStyle name="Normal 5 4 3 2 5 3" xfId="3461"/>
    <cellStyle name="Normal 5 4 3 2 6" xfId="1816"/>
    <cellStyle name="Normal 5 4 3 2 6 2" xfId="4009"/>
    <cellStyle name="Normal 5 4 3 2 7" xfId="2913"/>
    <cellStyle name="Normal 5 4 3 3" xfId="751"/>
    <cellStyle name="Normal 5 4 3 3 2" xfId="888"/>
    <cellStyle name="Normal 5 4 3 3 2 2" xfId="1163"/>
    <cellStyle name="Normal 5 4 3 3 2 2 2" xfId="1715"/>
    <cellStyle name="Normal 5 4 3 3 2 2 2 2" xfId="2811"/>
    <cellStyle name="Normal 5 4 3 3 2 2 2 2 2" xfId="5004"/>
    <cellStyle name="Normal 5 4 3 3 2 2 2 3" xfId="3908"/>
    <cellStyle name="Normal 5 4 3 3 2 2 3" xfId="2263"/>
    <cellStyle name="Normal 5 4 3 3 2 2 3 2" xfId="4456"/>
    <cellStyle name="Normal 5 4 3 3 2 2 4" xfId="3360"/>
    <cellStyle name="Normal 5 4 3 3 2 3" xfId="1441"/>
    <cellStyle name="Normal 5 4 3 3 2 3 2" xfId="2537"/>
    <cellStyle name="Normal 5 4 3 3 2 3 2 2" xfId="4730"/>
    <cellStyle name="Normal 5 4 3 3 2 3 3" xfId="3634"/>
    <cellStyle name="Normal 5 4 3 3 2 4" xfId="1989"/>
    <cellStyle name="Normal 5 4 3 3 2 4 2" xfId="4182"/>
    <cellStyle name="Normal 5 4 3 3 2 5" xfId="3086"/>
    <cellStyle name="Normal 5 4 3 3 3" xfId="1026"/>
    <cellStyle name="Normal 5 4 3 3 3 2" xfId="1578"/>
    <cellStyle name="Normal 5 4 3 3 3 2 2" xfId="2674"/>
    <cellStyle name="Normal 5 4 3 3 3 2 2 2" xfId="4867"/>
    <cellStyle name="Normal 5 4 3 3 3 2 3" xfId="3771"/>
    <cellStyle name="Normal 5 4 3 3 3 3" xfId="2126"/>
    <cellStyle name="Normal 5 4 3 3 3 3 2" xfId="4319"/>
    <cellStyle name="Normal 5 4 3 3 3 4" xfId="3223"/>
    <cellStyle name="Normal 5 4 3 3 4" xfId="1304"/>
    <cellStyle name="Normal 5 4 3 3 4 2" xfId="2400"/>
    <cellStyle name="Normal 5 4 3 3 4 2 2" xfId="4593"/>
    <cellStyle name="Normal 5 4 3 3 4 3" xfId="3497"/>
    <cellStyle name="Normal 5 4 3 3 5" xfId="1852"/>
    <cellStyle name="Normal 5 4 3 3 5 2" xfId="4045"/>
    <cellStyle name="Normal 5 4 3 3 6" xfId="2949"/>
    <cellStyle name="Normal 5 4 3 4" xfId="820"/>
    <cellStyle name="Normal 5 4 3 4 2" xfId="1095"/>
    <cellStyle name="Normal 5 4 3 4 2 2" xfId="1647"/>
    <cellStyle name="Normal 5 4 3 4 2 2 2" xfId="2743"/>
    <cellStyle name="Normal 5 4 3 4 2 2 2 2" xfId="4936"/>
    <cellStyle name="Normal 5 4 3 4 2 2 3" xfId="3840"/>
    <cellStyle name="Normal 5 4 3 4 2 3" xfId="2195"/>
    <cellStyle name="Normal 5 4 3 4 2 3 2" xfId="4388"/>
    <cellStyle name="Normal 5 4 3 4 2 4" xfId="3292"/>
    <cellStyle name="Normal 5 4 3 4 3" xfId="1373"/>
    <cellStyle name="Normal 5 4 3 4 3 2" xfId="2469"/>
    <cellStyle name="Normal 5 4 3 4 3 2 2" xfId="4662"/>
    <cellStyle name="Normal 5 4 3 4 3 3" xfId="3566"/>
    <cellStyle name="Normal 5 4 3 4 4" xfId="1921"/>
    <cellStyle name="Normal 5 4 3 4 4 2" xfId="4114"/>
    <cellStyle name="Normal 5 4 3 4 5" xfId="3018"/>
    <cellStyle name="Normal 5 4 3 5" xfId="958"/>
    <cellStyle name="Normal 5 4 3 5 2" xfId="1510"/>
    <cellStyle name="Normal 5 4 3 5 2 2" xfId="2606"/>
    <cellStyle name="Normal 5 4 3 5 2 2 2" xfId="4799"/>
    <cellStyle name="Normal 5 4 3 5 2 3" xfId="3703"/>
    <cellStyle name="Normal 5 4 3 5 3" xfId="2058"/>
    <cellStyle name="Normal 5 4 3 5 3 2" xfId="4251"/>
    <cellStyle name="Normal 5 4 3 5 4" xfId="3155"/>
    <cellStyle name="Normal 5 4 3 6" xfId="1236"/>
    <cellStyle name="Normal 5 4 3 6 2" xfId="2332"/>
    <cellStyle name="Normal 5 4 3 6 2 2" xfId="4525"/>
    <cellStyle name="Normal 5 4 3 6 3" xfId="3429"/>
    <cellStyle name="Normal 5 4 3 7" xfId="1784"/>
    <cellStyle name="Normal 5 4 3 7 2" xfId="3977"/>
    <cellStyle name="Normal 5 4 3 8" xfId="2881"/>
    <cellStyle name="Normal 5 4 4" xfId="697"/>
    <cellStyle name="Normal 5 4 4 2" xfId="767"/>
    <cellStyle name="Normal 5 4 4 2 2" xfId="904"/>
    <cellStyle name="Normal 5 4 4 2 2 2" xfId="1179"/>
    <cellStyle name="Normal 5 4 4 2 2 2 2" xfId="1731"/>
    <cellStyle name="Normal 5 4 4 2 2 2 2 2" xfId="2827"/>
    <cellStyle name="Normal 5 4 4 2 2 2 2 2 2" xfId="5020"/>
    <cellStyle name="Normal 5 4 4 2 2 2 2 3" xfId="3924"/>
    <cellStyle name="Normal 5 4 4 2 2 2 3" xfId="2279"/>
    <cellStyle name="Normal 5 4 4 2 2 2 3 2" xfId="4472"/>
    <cellStyle name="Normal 5 4 4 2 2 2 4" xfId="3376"/>
    <cellStyle name="Normal 5 4 4 2 2 3" xfId="1457"/>
    <cellStyle name="Normal 5 4 4 2 2 3 2" xfId="2553"/>
    <cellStyle name="Normal 5 4 4 2 2 3 2 2" xfId="4746"/>
    <cellStyle name="Normal 5 4 4 2 2 3 3" xfId="3650"/>
    <cellStyle name="Normal 5 4 4 2 2 4" xfId="2005"/>
    <cellStyle name="Normal 5 4 4 2 2 4 2" xfId="4198"/>
    <cellStyle name="Normal 5 4 4 2 2 5" xfId="3102"/>
    <cellStyle name="Normal 5 4 4 2 3" xfId="1042"/>
    <cellStyle name="Normal 5 4 4 2 3 2" xfId="1594"/>
    <cellStyle name="Normal 5 4 4 2 3 2 2" xfId="2690"/>
    <cellStyle name="Normal 5 4 4 2 3 2 2 2" xfId="4883"/>
    <cellStyle name="Normal 5 4 4 2 3 2 3" xfId="3787"/>
    <cellStyle name="Normal 5 4 4 2 3 3" xfId="2142"/>
    <cellStyle name="Normal 5 4 4 2 3 3 2" xfId="4335"/>
    <cellStyle name="Normal 5 4 4 2 3 4" xfId="3239"/>
    <cellStyle name="Normal 5 4 4 2 4" xfId="1320"/>
    <cellStyle name="Normal 5 4 4 2 4 2" xfId="2416"/>
    <cellStyle name="Normal 5 4 4 2 4 2 2" xfId="4609"/>
    <cellStyle name="Normal 5 4 4 2 4 3" xfId="3513"/>
    <cellStyle name="Normal 5 4 4 2 5" xfId="1868"/>
    <cellStyle name="Normal 5 4 4 2 5 2" xfId="4061"/>
    <cellStyle name="Normal 5 4 4 2 6" xfId="2965"/>
    <cellStyle name="Normal 5 4 4 3" xfId="836"/>
    <cellStyle name="Normal 5 4 4 3 2" xfId="1111"/>
    <cellStyle name="Normal 5 4 4 3 2 2" xfId="1663"/>
    <cellStyle name="Normal 5 4 4 3 2 2 2" xfId="2759"/>
    <cellStyle name="Normal 5 4 4 3 2 2 2 2" xfId="4952"/>
    <cellStyle name="Normal 5 4 4 3 2 2 3" xfId="3856"/>
    <cellStyle name="Normal 5 4 4 3 2 3" xfId="2211"/>
    <cellStyle name="Normal 5 4 4 3 2 3 2" xfId="4404"/>
    <cellStyle name="Normal 5 4 4 3 2 4" xfId="3308"/>
    <cellStyle name="Normal 5 4 4 3 3" xfId="1389"/>
    <cellStyle name="Normal 5 4 4 3 3 2" xfId="2485"/>
    <cellStyle name="Normal 5 4 4 3 3 2 2" xfId="4678"/>
    <cellStyle name="Normal 5 4 4 3 3 3" xfId="3582"/>
    <cellStyle name="Normal 5 4 4 3 4" xfId="1937"/>
    <cellStyle name="Normal 5 4 4 3 4 2" xfId="4130"/>
    <cellStyle name="Normal 5 4 4 3 5" xfId="3034"/>
    <cellStyle name="Normal 5 4 4 4" xfId="974"/>
    <cellStyle name="Normal 5 4 4 4 2" xfId="1526"/>
    <cellStyle name="Normal 5 4 4 4 2 2" xfId="2622"/>
    <cellStyle name="Normal 5 4 4 4 2 2 2" xfId="4815"/>
    <cellStyle name="Normal 5 4 4 4 2 3" xfId="3719"/>
    <cellStyle name="Normal 5 4 4 4 3" xfId="2074"/>
    <cellStyle name="Normal 5 4 4 4 3 2" xfId="4267"/>
    <cellStyle name="Normal 5 4 4 4 4" xfId="3171"/>
    <cellStyle name="Normal 5 4 4 5" xfId="1252"/>
    <cellStyle name="Normal 5 4 4 5 2" xfId="2348"/>
    <cellStyle name="Normal 5 4 4 5 2 2" xfId="4541"/>
    <cellStyle name="Normal 5 4 4 5 3" xfId="3445"/>
    <cellStyle name="Normal 5 4 4 6" xfId="1800"/>
    <cellStyle name="Normal 5 4 4 6 2" xfId="3993"/>
    <cellStyle name="Normal 5 4 4 7" xfId="2897"/>
    <cellStyle name="Normal 5 4 5" xfId="735"/>
    <cellStyle name="Normal 5 4 5 2" xfId="872"/>
    <cellStyle name="Normal 5 4 5 2 2" xfId="1147"/>
    <cellStyle name="Normal 5 4 5 2 2 2" xfId="1699"/>
    <cellStyle name="Normal 5 4 5 2 2 2 2" xfId="2795"/>
    <cellStyle name="Normal 5 4 5 2 2 2 2 2" xfId="4988"/>
    <cellStyle name="Normal 5 4 5 2 2 2 3" xfId="3892"/>
    <cellStyle name="Normal 5 4 5 2 2 3" xfId="2247"/>
    <cellStyle name="Normal 5 4 5 2 2 3 2" xfId="4440"/>
    <cellStyle name="Normal 5 4 5 2 2 4" xfId="3344"/>
    <cellStyle name="Normal 5 4 5 2 3" xfId="1425"/>
    <cellStyle name="Normal 5 4 5 2 3 2" xfId="2521"/>
    <cellStyle name="Normal 5 4 5 2 3 2 2" xfId="4714"/>
    <cellStyle name="Normal 5 4 5 2 3 3" xfId="3618"/>
    <cellStyle name="Normal 5 4 5 2 4" xfId="1973"/>
    <cellStyle name="Normal 5 4 5 2 4 2" xfId="4166"/>
    <cellStyle name="Normal 5 4 5 2 5" xfId="3070"/>
    <cellStyle name="Normal 5 4 5 3" xfId="1010"/>
    <cellStyle name="Normal 5 4 5 3 2" xfId="1562"/>
    <cellStyle name="Normal 5 4 5 3 2 2" xfId="2658"/>
    <cellStyle name="Normal 5 4 5 3 2 2 2" xfId="4851"/>
    <cellStyle name="Normal 5 4 5 3 2 3" xfId="3755"/>
    <cellStyle name="Normal 5 4 5 3 3" xfId="2110"/>
    <cellStyle name="Normal 5 4 5 3 3 2" xfId="4303"/>
    <cellStyle name="Normal 5 4 5 3 4" xfId="3207"/>
    <cellStyle name="Normal 5 4 5 4" xfId="1288"/>
    <cellStyle name="Normal 5 4 5 4 2" xfId="2384"/>
    <cellStyle name="Normal 5 4 5 4 2 2" xfId="4577"/>
    <cellStyle name="Normal 5 4 5 4 3" xfId="3481"/>
    <cellStyle name="Normal 5 4 5 5" xfId="1836"/>
    <cellStyle name="Normal 5 4 5 5 2" xfId="4029"/>
    <cellStyle name="Normal 5 4 5 6" xfId="2933"/>
    <cellStyle name="Normal 5 4 6" xfId="804"/>
    <cellStyle name="Normal 5 4 6 2" xfId="1079"/>
    <cellStyle name="Normal 5 4 6 2 2" xfId="1631"/>
    <cellStyle name="Normal 5 4 6 2 2 2" xfId="2727"/>
    <cellStyle name="Normal 5 4 6 2 2 2 2" xfId="4920"/>
    <cellStyle name="Normal 5 4 6 2 2 3" xfId="3824"/>
    <cellStyle name="Normal 5 4 6 2 3" xfId="2179"/>
    <cellStyle name="Normal 5 4 6 2 3 2" xfId="4372"/>
    <cellStyle name="Normal 5 4 6 2 4" xfId="3276"/>
    <cellStyle name="Normal 5 4 6 3" xfId="1357"/>
    <cellStyle name="Normal 5 4 6 3 2" xfId="2453"/>
    <cellStyle name="Normal 5 4 6 3 2 2" xfId="4646"/>
    <cellStyle name="Normal 5 4 6 3 3" xfId="3550"/>
    <cellStyle name="Normal 5 4 6 4" xfId="1905"/>
    <cellStyle name="Normal 5 4 6 4 2" xfId="4098"/>
    <cellStyle name="Normal 5 4 6 5" xfId="3002"/>
    <cellStyle name="Normal 5 4 7" xfId="942"/>
    <cellStyle name="Normal 5 4 7 2" xfId="1494"/>
    <cellStyle name="Normal 5 4 7 2 2" xfId="2590"/>
    <cellStyle name="Normal 5 4 7 2 2 2" xfId="4783"/>
    <cellStyle name="Normal 5 4 7 2 3" xfId="3687"/>
    <cellStyle name="Normal 5 4 7 3" xfId="2042"/>
    <cellStyle name="Normal 5 4 7 3 2" xfId="4235"/>
    <cellStyle name="Normal 5 4 7 4" xfId="3139"/>
    <cellStyle name="Normal 5 4 8" xfId="1220"/>
    <cellStyle name="Normal 5 4 8 2" xfId="2316"/>
    <cellStyle name="Normal 5 4 8 2 2" xfId="4509"/>
    <cellStyle name="Normal 5 4 8 3" xfId="3413"/>
    <cellStyle name="Normal 5 4 9" xfId="1768"/>
    <cellStyle name="Normal 5 4 9 2" xfId="3961"/>
    <cellStyle name="Normal 5 5" xfId="661"/>
    <cellStyle name="Normal 5 5 2" xfId="681"/>
    <cellStyle name="Normal 5 5 2 2" xfId="717"/>
    <cellStyle name="Normal 5 5 2 2 2" xfId="787"/>
    <cellStyle name="Normal 5 5 2 2 2 2" xfId="924"/>
    <cellStyle name="Normal 5 5 2 2 2 2 2" xfId="1199"/>
    <cellStyle name="Normal 5 5 2 2 2 2 2 2" xfId="1751"/>
    <cellStyle name="Normal 5 5 2 2 2 2 2 2 2" xfId="2847"/>
    <cellStyle name="Normal 5 5 2 2 2 2 2 2 2 2" xfId="5040"/>
    <cellStyle name="Normal 5 5 2 2 2 2 2 2 3" xfId="3944"/>
    <cellStyle name="Normal 5 5 2 2 2 2 2 3" xfId="2299"/>
    <cellStyle name="Normal 5 5 2 2 2 2 2 3 2" xfId="4492"/>
    <cellStyle name="Normal 5 5 2 2 2 2 2 4" xfId="3396"/>
    <cellStyle name="Normal 5 5 2 2 2 2 3" xfId="1477"/>
    <cellStyle name="Normal 5 5 2 2 2 2 3 2" xfId="2573"/>
    <cellStyle name="Normal 5 5 2 2 2 2 3 2 2" xfId="4766"/>
    <cellStyle name="Normal 5 5 2 2 2 2 3 3" xfId="3670"/>
    <cellStyle name="Normal 5 5 2 2 2 2 4" xfId="2025"/>
    <cellStyle name="Normal 5 5 2 2 2 2 4 2" xfId="4218"/>
    <cellStyle name="Normal 5 5 2 2 2 2 5" xfId="3122"/>
    <cellStyle name="Normal 5 5 2 2 2 3" xfId="1062"/>
    <cellStyle name="Normal 5 5 2 2 2 3 2" xfId="1614"/>
    <cellStyle name="Normal 5 5 2 2 2 3 2 2" xfId="2710"/>
    <cellStyle name="Normal 5 5 2 2 2 3 2 2 2" xfId="4903"/>
    <cellStyle name="Normal 5 5 2 2 2 3 2 3" xfId="3807"/>
    <cellStyle name="Normal 5 5 2 2 2 3 3" xfId="2162"/>
    <cellStyle name="Normal 5 5 2 2 2 3 3 2" xfId="4355"/>
    <cellStyle name="Normal 5 5 2 2 2 3 4" xfId="3259"/>
    <cellStyle name="Normal 5 5 2 2 2 4" xfId="1340"/>
    <cellStyle name="Normal 5 5 2 2 2 4 2" xfId="2436"/>
    <cellStyle name="Normal 5 5 2 2 2 4 2 2" xfId="4629"/>
    <cellStyle name="Normal 5 5 2 2 2 4 3" xfId="3533"/>
    <cellStyle name="Normal 5 5 2 2 2 5" xfId="1888"/>
    <cellStyle name="Normal 5 5 2 2 2 5 2" xfId="4081"/>
    <cellStyle name="Normal 5 5 2 2 2 6" xfId="2985"/>
    <cellStyle name="Normal 5 5 2 2 3" xfId="856"/>
    <cellStyle name="Normal 5 5 2 2 3 2" xfId="1131"/>
    <cellStyle name="Normal 5 5 2 2 3 2 2" xfId="1683"/>
    <cellStyle name="Normal 5 5 2 2 3 2 2 2" xfId="2779"/>
    <cellStyle name="Normal 5 5 2 2 3 2 2 2 2" xfId="4972"/>
    <cellStyle name="Normal 5 5 2 2 3 2 2 3" xfId="3876"/>
    <cellStyle name="Normal 5 5 2 2 3 2 3" xfId="2231"/>
    <cellStyle name="Normal 5 5 2 2 3 2 3 2" xfId="4424"/>
    <cellStyle name="Normal 5 5 2 2 3 2 4" xfId="3328"/>
    <cellStyle name="Normal 5 5 2 2 3 3" xfId="1409"/>
    <cellStyle name="Normal 5 5 2 2 3 3 2" xfId="2505"/>
    <cellStyle name="Normal 5 5 2 2 3 3 2 2" xfId="4698"/>
    <cellStyle name="Normal 5 5 2 2 3 3 3" xfId="3602"/>
    <cellStyle name="Normal 5 5 2 2 3 4" xfId="1957"/>
    <cellStyle name="Normal 5 5 2 2 3 4 2" xfId="4150"/>
    <cellStyle name="Normal 5 5 2 2 3 5" xfId="3054"/>
    <cellStyle name="Normal 5 5 2 2 4" xfId="994"/>
    <cellStyle name="Normal 5 5 2 2 4 2" xfId="1546"/>
    <cellStyle name="Normal 5 5 2 2 4 2 2" xfId="2642"/>
    <cellStyle name="Normal 5 5 2 2 4 2 2 2" xfId="4835"/>
    <cellStyle name="Normal 5 5 2 2 4 2 3" xfId="3739"/>
    <cellStyle name="Normal 5 5 2 2 4 3" xfId="2094"/>
    <cellStyle name="Normal 5 5 2 2 4 3 2" xfId="4287"/>
    <cellStyle name="Normal 5 5 2 2 4 4" xfId="3191"/>
    <cellStyle name="Normal 5 5 2 2 5" xfId="1272"/>
    <cellStyle name="Normal 5 5 2 2 5 2" xfId="2368"/>
    <cellStyle name="Normal 5 5 2 2 5 2 2" xfId="4561"/>
    <cellStyle name="Normal 5 5 2 2 5 3" xfId="3465"/>
    <cellStyle name="Normal 5 5 2 2 6" xfId="1820"/>
    <cellStyle name="Normal 5 5 2 2 6 2" xfId="4013"/>
    <cellStyle name="Normal 5 5 2 2 7" xfId="2917"/>
    <cellStyle name="Normal 5 5 2 3" xfId="755"/>
    <cellStyle name="Normal 5 5 2 3 2" xfId="892"/>
    <cellStyle name="Normal 5 5 2 3 2 2" xfId="1167"/>
    <cellStyle name="Normal 5 5 2 3 2 2 2" xfId="1719"/>
    <cellStyle name="Normal 5 5 2 3 2 2 2 2" xfId="2815"/>
    <cellStyle name="Normal 5 5 2 3 2 2 2 2 2" xfId="5008"/>
    <cellStyle name="Normal 5 5 2 3 2 2 2 3" xfId="3912"/>
    <cellStyle name="Normal 5 5 2 3 2 2 3" xfId="2267"/>
    <cellStyle name="Normal 5 5 2 3 2 2 3 2" xfId="4460"/>
    <cellStyle name="Normal 5 5 2 3 2 2 4" xfId="3364"/>
    <cellStyle name="Normal 5 5 2 3 2 3" xfId="1445"/>
    <cellStyle name="Normal 5 5 2 3 2 3 2" xfId="2541"/>
    <cellStyle name="Normal 5 5 2 3 2 3 2 2" xfId="4734"/>
    <cellStyle name="Normal 5 5 2 3 2 3 3" xfId="3638"/>
    <cellStyle name="Normal 5 5 2 3 2 4" xfId="1993"/>
    <cellStyle name="Normal 5 5 2 3 2 4 2" xfId="4186"/>
    <cellStyle name="Normal 5 5 2 3 2 5" xfId="3090"/>
    <cellStyle name="Normal 5 5 2 3 3" xfId="1030"/>
    <cellStyle name="Normal 5 5 2 3 3 2" xfId="1582"/>
    <cellStyle name="Normal 5 5 2 3 3 2 2" xfId="2678"/>
    <cellStyle name="Normal 5 5 2 3 3 2 2 2" xfId="4871"/>
    <cellStyle name="Normal 5 5 2 3 3 2 3" xfId="3775"/>
    <cellStyle name="Normal 5 5 2 3 3 3" xfId="2130"/>
    <cellStyle name="Normal 5 5 2 3 3 3 2" xfId="4323"/>
    <cellStyle name="Normal 5 5 2 3 3 4" xfId="3227"/>
    <cellStyle name="Normal 5 5 2 3 4" xfId="1308"/>
    <cellStyle name="Normal 5 5 2 3 4 2" xfId="2404"/>
    <cellStyle name="Normal 5 5 2 3 4 2 2" xfId="4597"/>
    <cellStyle name="Normal 5 5 2 3 4 3" xfId="3501"/>
    <cellStyle name="Normal 5 5 2 3 5" xfId="1856"/>
    <cellStyle name="Normal 5 5 2 3 5 2" xfId="4049"/>
    <cellStyle name="Normal 5 5 2 3 6" xfId="2953"/>
    <cellStyle name="Normal 5 5 2 4" xfId="824"/>
    <cellStyle name="Normal 5 5 2 4 2" xfId="1099"/>
    <cellStyle name="Normal 5 5 2 4 2 2" xfId="1651"/>
    <cellStyle name="Normal 5 5 2 4 2 2 2" xfId="2747"/>
    <cellStyle name="Normal 5 5 2 4 2 2 2 2" xfId="4940"/>
    <cellStyle name="Normal 5 5 2 4 2 2 3" xfId="3844"/>
    <cellStyle name="Normal 5 5 2 4 2 3" xfId="2199"/>
    <cellStyle name="Normal 5 5 2 4 2 3 2" xfId="4392"/>
    <cellStyle name="Normal 5 5 2 4 2 4" xfId="3296"/>
    <cellStyle name="Normal 5 5 2 4 3" xfId="1377"/>
    <cellStyle name="Normal 5 5 2 4 3 2" xfId="2473"/>
    <cellStyle name="Normal 5 5 2 4 3 2 2" xfId="4666"/>
    <cellStyle name="Normal 5 5 2 4 3 3" xfId="3570"/>
    <cellStyle name="Normal 5 5 2 4 4" xfId="1925"/>
    <cellStyle name="Normal 5 5 2 4 4 2" xfId="4118"/>
    <cellStyle name="Normal 5 5 2 4 5" xfId="3022"/>
    <cellStyle name="Normal 5 5 2 5" xfId="962"/>
    <cellStyle name="Normal 5 5 2 5 2" xfId="1514"/>
    <cellStyle name="Normal 5 5 2 5 2 2" xfId="2610"/>
    <cellStyle name="Normal 5 5 2 5 2 2 2" xfId="4803"/>
    <cellStyle name="Normal 5 5 2 5 2 3" xfId="3707"/>
    <cellStyle name="Normal 5 5 2 5 3" xfId="2062"/>
    <cellStyle name="Normal 5 5 2 5 3 2" xfId="4255"/>
    <cellStyle name="Normal 5 5 2 5 4" xfId="3159"/>
    <cellStyle name="Normal 5 5 2 6" xfId="1240"/>
    <cellStyle name="Normal 5 5 2 6 2" xfId="2336"/>
    <cellStyle name="Normal 5 5 2 6 2 2" xfId="4529"/>
    <cellStyle name="Normal 5 5 2 6 3" xfId="3433"/>
    <cellStyle name="Normal 5 5 2 7" xfId="1788"/>
    <cellStyle name="Normal 5 5 2 7 2" xfId="3981"/>
    <cellStyle name="Normal 5 5 2 8" xfId="2885"/>
    <cellStyle name="Normal 5 5 3" xfId="701"/>
    <cellStyle name="Normal 5 5 3 2" xfId="771"/>
    <cellStyle name="Normal 5 5 3 2 2" xfId="908"/>
    <cellStyle name="Normal 5 5 3 2 2 2" xfId="1183"/>
    <cellStyle name="Normal 5 5 3 2 2 2 2" xfId="1735"/>
    <cellStyle name="Normal 5 5 3 2 2 2 2 2" xfId="2831"/>
    <cellStyle name="Normal 5 5 3 2 2 2 2 2 2" xfId="5024"/>
    <cellStyle name="Normal 5 5 3 2 2 2 2 3" xfId="3928"/>
    <cellStyle name="Normal 5 5 3 2 2 2 3" xfId="2283"/>
    <cellStyle name="Normal 5 5 3 2 2 2 3 2" xfId="4476"/>
    <cellStyle name="Normal 5 5 3 2 2 2 4" xfId="3380"/>
    <cellStyle name="Normal 5 5 3 2 2 3" xfId="1461"/>
    <cellStyle name="Normal 5 5 3 2 2 3 2" xfId="2557"/>
    <cellStyle name="Normal 5 5 3 2 2 3 2 2" xfId="4750"/>
    <cellStyle name="Normal 5 5 3 2 2 3 3" xfId="3654"/>
    <cellStyle name="Normal 5 5 3 2 2 4" xfId="2009"/>
    <cellStyle name="Normal 5 5 3 2 2 4 2" xfId="4202"/>
    <cellStyle name="Normal 5 5 3 2 2 5" xfId="3106"/>
    <cellStyle name="Normal 5 5 3 2 3" xfId="1046"/>
    <cellStyle name="Normal 5 5 3 2 3 2" xfId="1598"/>
    <cellStyle name="Normal 5 5 3 2 3 2 2" xfId="2694"/>
    <cellStyle name="Normal 5 5 3 2 3 2 2 2" xfId="4887"/>
    <cellStyle name="Normal 5 5 3 2 3 2 3" xfId="3791"/>
    <cellStyle name="Normal 5 5 3 2 3 3" xfId="2146"/>
    <cellStyle name="Normal 5 5 3 2 3 3 2" xfId="4339"/>
    <cellStyle name="Normal 5 5 3 2 3 4" xfId="3243"/>
    <cellStyle name="Normal 5 5 3 2 4" xfId="1324"/>
    <cellStyle name="Normal 5 5 3 2 4 2" xfId="2420"/>
    <cellStyle name="Normal 5 5 3 2 4 2 2" xfId="4613"/>
    <cellStyle name="Normal 5 5 3 2 4 3" xfId="3517"/>
    <cellStyle name="Normal 5 5 3 2 5" xfId="1872"/>
    <cellStyle name="Normal 5 5 3 2 5 2" xfId="4065"/>
    <cellStyle name="Normal 5 5 3 2 6" xfId="2969"/>
    <cellStyle name="Normal 5 5 3 3" xfId="840"/>
    <cellStyle name="Normal 5 5 3 3 2" xfId="1115"/>
    <cellStyle name="Normal 5 5 3 3 2 2" xfId="1667"/>
    <cellStyle name="Normal 5 5 3 3 2 2 2" xfId="2763"/>
    <cellStyle name="Normal 5 5 3 3 2 2 2 2" xfId="4956"/>
    <cellStyle name="Normal 5 5 3 3 2 2 3" xfId="3860"/>
    <cellStyle name="Normal 5 5 3 3 2 3" xfId="2215"/>
    <cellStyle name="Normal 5 5 3 3 2 3 2" xfId="4408"/>
    <cellStyle name="Normal 5 5 3 3 2 4" xfId="3312"/>
    <cellStyle name="Normal 5 5 3 3 3" xfId="1393"/>
    <cellStyle name="Normal 5 5 3 3 3 2" xfId="2489"/>
    <cellStyle name="Normal 5 5 3 3 3 2 2" xfId="4682"/>
    <cellStyle name="Normal 5 5 3 3 3 3" xfId="3586"/>
    <cellStyle name="Normal 5 5 3 3 4" xfId="1941"/>
    <cellStyle name="Normal 5 5 3 3 4 2" xfId="4134"/>
    <cellStyle name="Normal 5 5 3 3 5" xfId="3038"/>
    <cellStyle name="Normal 5 5 3 4" xfId="978"/>
    <cellStyle name="Normal 5 5 3 4 2" xfId="1530"/>
    <cellStyle name="Normal 5 5 3 4 2 2" xfId="2626"/>
    <cellStyle name="Normal 5 5 3 4 2 2 2" xfId="4819"/>
    <cellStyle name="Normal 5 5 3 4 2 3" xfId="3723"/>
    <cellStyle name="Normal 5 5 3 4 3" xfId="2078"/>
    <cellStyle name="Normal 5 5 3 4 3 2" xfId="4271"/>
    <cellStyle name="Normal 5 5 3 4 4" xfId="3175"/>
    <cellStyle name="Normal 5 5 3 5" xfId="1256"/>
    <cellStyle name="Normal 5 5 3 5 2" xfId="2352"/>
    <cellStyle name="Normal 5 5 3 5 2 2" xfId="4545"/>
    <cellStyle name="Normal 5 5 3 5 3" xfId="3449"/>
    <cellStyle name="Normal 5 5 3 6" xfId="1804"/>
    <cellStyle name="Normal 5 5 3 6 2" xfId="3997"/>
    <cellStyle name="Normal 5 5 3 7" xfId="2901"/>
    <cellStyle name="Normal 5 5 4" xfId="739"/>
    <cellStyle name="Normal 5 5 4 2" xfId="876"/>
    <cellStyle name="Normal 5 5 4 2 2" xfId="1151"/>
    <cellStyle name="Normal 5 5 4 2 2 2" xfId="1703"/>
    <cellStyle name="Normal 5 5 4 2 2 2 2" xfId="2799"/>
    <cellStyle name="Normal 5 5 4 2 2 2 2 2" xfId="4992"/>
    <cellStyle name="Normal 5 5 4 2 2 2 3" xfId="3896"/>
    <cellStyle name="Normal 5 5 4 2 2 3" xfId="2251"/>
    <cellStyle name="Normal 5 5 4 2 2 3 2" xfId="4444"/>
    <cellStyle name="Normal 5 5 4 2 2 4" xfId="3348"/>
    <cellStyle name="Normal 5 5 4 2 3" xfId="1429"/>
    <cellStyle name="Normal 5 5 4 2 3 2" xfId="2525"/>
    <cellStyle name="Normal 5 5 4 2 3 2 2" xfId="4718"/>
    <cellStyle name="Normal 5 5 4 2 3 3" xfId="3622"/>
    <cellStyle name="Normal 5 5 4 2 4" xfId="1977"/>
    <cellStyle name="Normal 5 5 4 2 4 2" xfId="4170"/>
    <cellStyle name="Normal 5 5 4 2 5" xfId="3074"/>
    <cellStyle name="Normal 5 5 4 3" xfId="1014"/>
    <cellStyle name="Normal 5 5 4 3 2" xfId="1566"/>
    <cellStyle name="Normal 5 5 4 3 2 2" xfId="2662"/>
    <cellStyle name="Normal 5 5 4 3 2 2 2" xfId="4855"/>
    <cellStyle name="Normal 5 5 4 3 2 3" xfId="3759"/>
    <cellStyle name="Normal 5 5 4 3 3" xfId="2114"/>
    <cellStyle name="Normal 5 5 4 3 3 2" xfId="4307"/>
    <cellStyle name="Normal 5 5 4 3 4" xfId="3211"/>
    <cellStyle name="Normal 5 5 4 4" xfId="1292"/>
    <cellStyle name="Normal 5 5 4 4 2" xfId="2388"/>
    <cellStyle name="Normal 5 5 4 4 2 2" xfId="4581"/>
    <cellStyle name="Normal 5 5 4 4 3" xfId="3485"/>
    <cellStyle name="Normal 5 5 4 5" xfId="1840"/>
    <cellStyle name="Normal 5 5 4 5 2" xfId="4033"/>
    <cellStyle name="Normal 5 5 4 6" xfId="2937"/>
    <cellStyle name="Normal 5 5 5" xfId="808"/>
    <cellStyle name="Normal 5 5 5 2" xfId="1083"/>
    <cellStyle name="Normal 5 5 5 2 2" xfId="1635"/>
    <cellStyle name="Normal 5 5 5 2 2 2" xfId="2731"/>
    <cellStyle name="Normal 5 5 5 2 2 2 2" xfId="4924"/>
    <cellStyle name="Normal 5 5 5 2 2 3" xfId="3828"/>
    <cellStyle name="Normal 5 5 5 2 3" xfId="2183"/>
    <cellStyle name="Normal 5 5 5 2 3 2" xfId="4376"/>
    <cellStyle name="Normal 5 5 5 2 4" xfId="3280"/>
    <cellStyle name="Normal 5 5 5 3" xfId="1361"/>
    <cellStyle name="Normal 5 5 5 3 2" xfId="2457"/>
    <cellStyle name="Normal 5 5 5 3 2 2" xfId="4650"/>
    <cellStyle name="Normal 5 5 5 3 3" xfId="3554"/>
    <cellStyle name="Normal 5 5 5 4" xfId="1909"/>
    <cellStyle name="Normal 5 5 5 4 2" xfId="4102"/>
    <cellStyle name="Normal 5 5 5 5" xfId="3006"/>
    <cellStyle name="Normal 5 5 6" xfId="946"/>
    <cellStyle name="Normal 5 5 6 2" xfId="1498"/>
    <cellStyle name="Normal 5 5 6 2 2" xfId="2594"/>
    <cellStyle name="Normal 5 5 6 2 2 2" xfId="4787"/>
    <cellStyle name="Normal 5 5 6 2 3" xfId="3691"/>
    <cellStyle name="Normal 5 5 6 3" xfId="2046"/>
    <cellStyle name="Normal 5 5 6 3 2" xfId="4239"/>
    <cellStyle name="Normal 5 5 6 4" xfId="3143"/>
    <cellStyle name="Normal 5 5 7" xfId="1224"/>
    <cellStyle name="Normal 5 5 7 2" xfId="2320"/>
    <cellStyle name="Normal 5 5 7 2 2" xfId="4513"/>
    <cellStyle name="Normal 5 5 7 3" xfId="3417"/>
    <cellStyle name="Normal 5 5 8" xfId="1772"/>
    <cellStyle name="Normal 5 5 8 2" xfId="3965"/>
    <cellStyle name="Normal 5 5 9" xfId="2869"/>
    <cellStyle name="Normal 5 6" xfId="673"/>
    <cellStyle name="Normal 5 6 2" xfId="709"/>
    <cellStyle name="Normal 5 6 2 2" xfId="779"/>
    <cellStyle name="Normal 5 6 2 2 2" xfId="916"/>
    <cellStyle name="Normal 5 6 2 2 2 2" xfId="1191"/>
    <cellStyle name="Normal 5 6 2 2 2 2 2" xfId="1743"/>
    <cellStyle name="Normal 5 6 2 2 2 2 2 2" xfId="2839"/>
    <cellStyle name="Normal 5 6 2 2 2 2 2 2 2" xfId="5032"/>
    <cellStyle name="Normal 5 6 2 2 2 2 2 3" xfId="3936"/>
    <cellStyle name="Normal 5 6 2 2 2 2 3" xfId="2291"/>
    <cellStyle name="Normal 5 6 2 2 2 2 3 2" xfId="4484"/>
    <cellStyle name="Normal 5 6 2 2 2 2 4" xfId="3388"/>
    <cellStyle name="Normal 5 6 2 2 2 3" xfId="1469"/>
    <cellStyle name="Normal 5 6 2 2 2 3 2" xfId="2565"/>
    <cellStyle name="Normal 5 6 2 2 2 3 2 2" xfId="4758"/>
    <cellStyle name="Normal 5 6 2 2 2 3 3" xfId="3662"/>
    <cellStyle name="Normal 5 6 2 2 2 4" xfId="2017"/>
    <cellStyle name="Normal 5 6 2 2 2 4 2" xfId="4210"/>
    <cellStyle name="Normal 5 6 2 2 2 5" xfId="3114"/>
    <cellStyle name="Normal 5 6 2 2 3" xfId="1054"/>
    <cellStyle name="Normal 5 6 2 2 3 2" xfId="1606"/>
    <cellStyle name="Normal 5 6 2 2 3 2 2" xfId="2702"/>
    <cellStyle name="Normal 5 6 2 2 3 2 2 2" xfId="4895"/>
    <cellStyle name="Normal 5 6 2 2 3 2 3" xfId="3799"/>
    <cellStyle name="Normal 5 6 2 2 3 3" xfId="2154"/>
    <cellStyle name="Normal 5 6 2 2 3 3 2" xfId="4347"/>
    <cellStyle name="Normal 5 6 2 2 3 4" xfId="3251"/>
    <cellStyle name="Normal 5 6 2 2 4" xfId="1332"/>
    <cellStyle name="Normal 5 6 2 2 4 2" xfId="2428"/>
    <cellStyle name="Normal 5 6 2 2 4 2 2" xfId="4621"/>
    <cellStyle name="Normal 5 6 2 2 4 3" xfId="3525"/>
    <cellStyle name="Normal 5 6 2 2 5" xfId="1880"/>
    <cellStyle name="Normal 5 6 2 2 5 2" xfId="4073"/>
    <cellStyle name="Normal 5 6 2 2 6" xfId="2977"/>
    <cellStyle name="Normal 5 6 2 3" xfId="848"/>
    <cellStyle name="Normal 5 6 2 3 2" xfId="1123"/>
    <cellStyle name="Normal 5 6 2 3 2 2" xfId="1675"/>
    <cellStyle name="Normal 5 6 2 3 2 2 2" xfId="2771"/>
    <cellStyle name="Normal 5 6 2 3 2 2 2 2" xfId="4964"/>
    <cellStyle name="Normal 5 6 2 3 2 2 3" xfId="3868"/>
    <cellStyle name="Normal 5 6 2 3 2 3" xfId="2223"/>
    <cellStyle name="Normal 5 6 2 3 2 3 2" xfId="4416"/>
    <cellStyle name="Normal 5 6 2 3 2 4" xfId="3320"/>
    <cellStyle name="Normal 5 6 2 3 3" xfId="1401"/>
    <cellStyle name="Normal 5 6 2 3 3 2" xfId="2497"/>
    <cellStyle name="Normal 5 6 2 3 3 2 2" xfId="4690"/>
    <cellStyle name="Normal 5 6 2 3 3 3" xfId="3594"/>
    <cellStyle name="Normal 5 6 2 3 4" xfId="1949"/>
    <cellStyle name="Normal 5 6 2 3 4 2" xfId="4142"/>
    <cellStyle name="Normal 5 6 2 3 5" xfId="3046"/>
    <cellStyle name="Normal 5 6 2 4" xfId="986"/>
    <cellStyle name="Normal 5 6 2 4 2" xfId="1538"/>
    <cellStyle name="Normal 5 6 2 4 2 2" xfId="2634"/>
    <cellStyle name="Normal 5 6 2 4 2 2 2" xfId="4827"/>
    <cellStyle name="Normal 5 6 2 4 2 3" xfId="3731"/>
    <cellStyle name="Normal 5 6 2 4 3" xfId="2086"/>
    <cellStyle name="Normal 5 6 2 4 3 2" xfId="4279"/>
    <cellStyle name="Normal 5 6 2 4 4" xfId="3183"/>
    <cellStyle name="Normal 5 6 2 5" xfId="1264"/>
    <cellStyle name="Normal 5 6 2 5 2" xfId="2360"/>
    <cellStyle name="Normal 5 6 2 5 2 2" xfId="4553"/>
    <cellStyle name="Normal 5 6 2 5 3" xfId="3457"/>
    <cellStyle name="Normal 5 6 2 6" xfId="1812"/>
    <cellStyle name="Normal 5 6 2 6 2" xfId="4005"/>
    <cellStyle name="Normal 5 6 2 7" xfId="2909"/>
    <cellStyle name="Normal 5 6 3" xfId="747"/>
    <cellStyle name="Normal 5 6 3 2" xfId="884"/>
    <cellStyle name="Normal 5 6 3 2 2" xfId="1159"/>
    <cellStyle name="Normal 5 6 3 2 2 2" xfId="1711"/>
    <cellStyle name="Normal 5 6 3 2 2 2 2" xfId="2807"/>
    <cellStyle name="Normal 5 6 3 2 2 2 2 2" xfId="5000"/>
    <cellStyle name="Normal 5 6 3 2 2 2 3" xfId="3904"/>
    <cellStyle name="Normal 5 6 3 2 2 3" xfId="2259"/>
    <cellStyle name="Normal 5 6 3 2 2 3 2" xfId="4452"/>
    <cellStyle name="Normal 5 6 3 2 2 4" xfId="3356"/>
    <cellStyle name="Normal 5 6 3 2 3" xfId="1437"/>
    <cellStyle name="Normal 5 6 3 2 3 2" xfId="2533"/>
    <cellStyle name="Normal 5 6 3 2 3 2 2" xfId="4726"/>
    <cellStyle name="Normal 5 6 3 2 3 3" xfId="3630"/>
    <cellStyle name="Normal 5 6 3 2 4" xfId="1985"/>
    <cellStyle name="Normal 5 6 3 2 4 2" xfId="4178"/>
    <cellStyle name="Normal 5 6 3 2 5" xfId="3082"/>
    <cellStyle name="Normal 5 6 3 3" xfId="1022"/>
    <cellStyle name="Normal 5 6 3 3 2" xfId="1574"/>
    <cellStyle name="Normal 5 6 3 3 2 2" xfId="2670"/>
    <cellStyle name="Normal 5 6 3 3 2 2 2" xfId="4863"/>
    <cellStyle name="Normal 5 6 3 3 2 3" xfId="3767"/>
    <cellStyle name="Normal 5 6 3 3 3" xfId="2122"/>
    <cellStyle name="Normal 5 6 3 3 3 2" xfId="4315"/>
    <cellStyle name="Normal 5 6 3 3 4" xfId="3219"/>
    <cellStyle name="Normal 5 6 3 4" xfId="1300"/>
    <cellStyle name="Normal 5 6 3 4 2" xfId="2396"/>
    <cellStyle name="Normal 5 6 3 4 2 2" xfId="4589"/>
    <cellStyle name="Normal 5 6 3 4 3" xfId="3493"/>
    <cellStyle name="Normal 5 6 3 5" xfId="1848"/>
    <cellStyle name="Normal 5 6 3 5 2" xfId="4041"/>
    <cellStyle name="Normal 5 6 3 6" xfId="2945"/>
    <cellStyle name="Normal 5 6 4" xfId="816"/>
    <cellStyle name="Normal 5 6 4 2" xfId="1091"/>
    <cellStyle name="Normal 5 6 4 2 2" xfId="1643"/>
    <cellStyle name="Normal 5 6 4 2 2 2" xfId="2739"/>
    <cellStyle name="Normal 5 6 4 2 2 2 2" xfId="4932"/>
    <cellStyle name="Normal 5 6 4 2 2 3" xfId="3836"/>
    <cellStyle name="Normal 5 6 4 2 3" xfId="2191"/>
    <cellStyle name="Normal 5 6 4 2 3 2" xfId="4384"/>
    <cellStyle name="Normal 5 6 4 2 4" xfId="3288"/>
    <cellStyle name="Normal 5 6 4 3" xfId="1369"/>
    <cellStyle name="Normal 5 6 4 3 2" xfId="2465"/>
    <cellStyle name="Normal 5 6 4 3 2 2" xfId="4658"/>
    <cellStyle name="Normal 5 6 4 3 3" xfId="3562"/>
    <cellStyle name="Normal 5 6 4 4" xfId="1917"/>
    <cellStyle name="Normal 5 6 4 4 2" xfId="4110"/>
    <cellStyle name="Normal 5 6 4 5" xfId="3014"/>
    <cellStyle name="Normal 5 6 5" xfId="954"/>
    <cellStyle name="Normal 5 6 5 2" xfId="1506"/>
    <cellStyle name="Normal 5 6 5 2 2" xfId="2602"/>
    <cellStyle name="Normal 5 6 5 2 2 2" xfId="4795"/>
    <cellStyle name="Normal 5 6 5 2 3" xfId="3699"/>
    <cellStyle name="Normal 5 6 5 3" xfId="2054"/>
    <cellStyle name="Normal 5 6 5 3 2" xfId="4247"/>
    <cellStyle name="Normal 5 6 5 4" xfId="3151"/>
    <cellStyle name="Normal 5 6 6" xfId="1232"/>
    <cellStyle name="Normal 5 6 6 2" xfId="2328"/>
    <cellStyle name="Normal 5 6 6 2 2" xfId="4521"/>
    <cellStyle name="Normal 5 6 6 3" xfId="3425"/>
    <cellStyle name="Normal 5 6 7" xfId="1780"/>
    <cellStyle name="Normal 5 6 7 2" xfId="3973"/>
    <cellStyle name="Normal 5 6 8" xfId="2877"/>
    <cellStyle name="Normal 5 7" xfId="693"/>
    <cellStyle name="Normal 5 7 2" xfId="763"/>
    <cellStyle name="Normal 5 7 2 2" xfId="900"/>
    <cellStyle name="Normal 5 7 2 2 2" xfId="1175"/>
    <cellStyle name="Normal 5 7 2 2 2 2" xfId="1727"/>
    <cellStyle name="Normal 5 7 2 2 2 2 2" xfId="2823"/>
    <cellStyle name="Normal 5 7 2 2 2 2 2 2" xfId="5016"/>
    <cellStyle name="Normal 5 7 2 2 2 2 3" xfId="3920"/>
    <cellStyle name="Normal 5 7 2 2 2 3" xfId="2275"/>
    <cellStyle name="Normal 5 7 2 2 2 3 2" xfId="4468"/>
    <cellStyle name="Normal 5 7 2 2 2 4" xfId="3372"/>
    <cellStyle name="Normal 5 7 2 2 3" xfId="1453"/>
    <cellStyle name="Normal 5 7 2 2 3 2" xfId="2549"/>
    <cellStyle name="Normal 5 7 2 2 3 2 2" xfId="4742"/>
    <cellStyle name="Normal 5 7 2 2 3 3" xfId="3646"/>
    <cellStyle name="Normal 5 7 2 2 4" xfId="2001"/>
    <cellStyle name="Normal 5 7 2 2 4 2" xfId="4194"/>
    <cellStyle name="Normal 5 7 2 2 5" xfId="3098"/>
    <cellStyle name="Normal 5 7 2 3" xfId="1038"/>
    <cellStyle name="Normal 5 7 2 3 2" xfId="1590"/>
    <cellStyle name="Normal 5 7 2 3 2 2" xfId="2686"/>
    <cellStyle name="Normal 5 7 2 3 2 2 2" xfId="4879"/>
    <cellStyle name="Normal 5 7 2 3 2 3" xfId="3783"/>
    <cellStyle name="Normal 5 7 2 3 3" xfId="2138"/>
    <cellStyle name="Normal 5 7 2 3 3 2" xfId="4331"/>
    <cellStyle name="Normal 5 7 2 3 4" xfId="3235"/>
    <cellStyle name="Normal 5 7 2 4" xfId="1316"/>
    <cellStyle name="Normal 5 7 2 4 2" xfId="2412"/>
    <cellStyle name="Normal 5 7 2 4 2 2" xfId="4605"/>
    <cellStyle name="Normal 5 7 2 4 3" xfId="3509"/>
    <cellStyle name="Normal 5 7 2 5" xfId="1864"/>
    <cellStyle name="Normal 5 7 2 5 2" xfId="4057"/>
    <cellStyle name="Normal 5 7 2 6" xfId="2961"/>
    <cellStyle name="Normal 5 7 3" xfId="832"/>
    <cellStyle name="Normal 5 7 3 2" xfId="1107"/>
    <cellStyle name="Normal 5 7 3 2 2" xfId="1659"/>
    <cellStyle name="Normal 5 7 3 2 2 2" xfId="2755"/>
    <cellStyle name="Normal 5 7 3 2 2 2 2" xfId="4948"/>
    <cellStyle name="Normal 5 7 3 2 2 3" xfId="3852"/>
    <cellStyle name="Normal 5 7 3 2 3" xfId="2207"/>
    <cellStyle name="Normal 5 7 3 2 3 2" xfId="4400"/>
    <cellStyle name="Normal 5 7 3 2 4" xfId="3304"/>
    <cellStyle name="Normal 5 7 3 3" xfId="1385"/>
    <cellStyle name="Normal 5 7 3 3 2" xfId="2481"/>
    <cellStyle name="Normal 5 7 3 3 2 2" xfId="4674"/>
    <cellStyle name="Normal 5 7 3 3 3" xfId="3578"/>
    <cellStyle name="Normal 5 7 3 4" xfId="1933"/>
    <cellStyle name="Normal 5 7 3 4 2" xfId="4126"/>
    <cellStyle name="Normal 5 7 3 5" xfId="3030"/>
    <cellStyle name="Normal 5 7 4" xfId="970"/>
    <cellStyle name="Normal 5 7 4 2" xfId="1522"/>
    <cellStyle name="Normal 5 7 4 2 2" xfId="2618"/>
    <cellStyle name="Normal 5 7 4 2 2 2" xfId="4811"/>
    <cellStyle name="Normal 5 7 4 2 3" xfId="3715"/>
    <cellStyle name="Normal 5 7 4 3" xfId="2070"/>
    <cellStyle name="Normal 5 7 4 3 2" xfId="4263"/>
    <cellStyle name="Normal 5 7 4 4" xfId="3167"/>
    <cellStyle name="Normal 5 7 5" xfId="1248"/>
    <cellStyle name="Normal 5 7 5 2" xfId="2344"/>
    <cellStyle name="Normal 5 7 5 2 2" xfId="4537"/>
    <cellStyle name="Normal 5 7 5 3" xfId="3441"/>
    <cellStyle name="Normal 5 7 6" xfId="1796"/>
    <cellStyle name="Normal 5 7 6 2" xfId="3989"/>
    <cellStyle name="Normal 5 7 7" xfId="2893"/>
    <cellStyle name="Normal 5 8" xfId="731"/>
    <cellStyle name="Normal 5 8 2" xfId="868"/>
    <cellStyle name="Normal 5 8 2 2" xfId="1143"/>
    <cellStyle name="Normal 5 8 2 2 2" xfId="1695"/>
    <cellStyle name="Normal 5 8 2 2 2 2" xfId="2791"/>
    <cellStyle name="Normal 5 8 2 2 2 2 2" xfId="4984"/>
    <cellStyle name="Normal 5 8 2 2 2 3" xfId="3888"/>
    <cellStyle name="Normal 5 8 2 2 3" xfId="2243"/>
    <cellStyle name="Normal 5 8 2 2 3 2" xfId="4436"/>
    <cellStyle name="Normal 5 8 2 2 4" xfId="3340"/>
    <cellStyle name="Normal 5 8 2 3" xfId="1421"/>
    <cellStyle name="Normal 5 8 2 3 2" xfId="2517"/>
    <cellStyle name="Normal 5 8 2 3 2 2" xfId="4710"/>
    <cellStyle name="Normal 5 8 2 3 3" xfId="3614"/>
    <cellStyle name="Normal 5 8 2 4" xfId="1969"/>
    <cellStyle name="Normal 5 8 2 4 2" xfId="4162"/>
    <cellStyle name="Normal 5 8 2 5" xfId="3066"/>
    <cellStyle name="Normal 5 8 3" xfId="1006"/>
    <cellStyle name="Normal 5 8 3 2" xfId="1558"/>
    <cellStyle name="Normal 5 8 3 2 2" xfId="2654"/>
    <cellStyle name="Normal 5 8 3 2 2 2" xfId="4847"/>
    <cellStyle name="Normal 5 8 3 2 3" xfId="3751"/>
    <cellStyle name="Normal 5 8 3 3" xfId="2106"/>
    <cellStyle name="Normal 5 8 3 3 2" xfId="4299"/>
    <cellStyle name="Normal 5 8 3 4" xfId="3203"/>
    <cellStyle name="Normal 5 8 4" xfId="1284"/>
    <cellStyle name="Normal 5 8 4 2" xfId="2380"/>
    <cellStyle name="Normal 5 8 4 2 2" xfId="4573"/>
    <cellStyle name="Normal 5 8 4 3" xfId="3477"/>
    <cellStyle name="Normal 5 8 5" xfId="1832"/>
    <cellStyle name="Normal 5 8 5 2" xfId="4025"/>
    <cellStyle name="Normal 5 8 6" xfId="2929"/>
    <cellStyle name="Normal 5 9" xfId="799"/>
    <cellStyle name="Normal 5 9 2" xfId="1074"/>
    <cellStyle name="Normal 5 9 2 2" xfId="1626"/>
    <cellStyle name="Normal 5 9 2 2 2" xfId="2722"/>
    <cellStyle name="Normal 5 9 2 2 2 2" xfId="4915"/>
    <cellStyle name="Normal 5 9 2 2 3" xfId="3819"/>
    <cellStyle name="Normal 5 9 2 3" xfId="2174"/>
    <cellStyle name="Normal 5 9 2 3 2" xfId="4367"/>
    <cellStyle name="Normal 5 9 2 4" xfId="3271"/>
    <cellStyle name="Normal 5 9 3" xfId="1352"/>
    <cellStyle name="Normal 5 9 3 2" xfId="2448"/>
    <cellStyle name="Normal 5 9 3 2 2" xfId="4641"/>
    <cellStyle name="Normal 5 9 3 3" xfId="3545"/>
    <cellStyle name="Normal 5 9 4" xfId="1900"/>
    <cellStyle name="Normal 5 9 4 2" xfId="4093"/>
    <cellStyle name="Normal 5 9 5" xfId="2997"/>
    <cellStyle name="Normal 6" xfId="226"/>
    <cellStyle name="Normal 6 2" xfId="803"/>
    <cellStyle name="Normal 6 2 2" xfId="1078"/>
    <cellStyle name="Normal 6 2 2 2" xfId="1630"/>
    <cellStyle name="Normal 6 2 2 2 2" xfId="2726"/>
    <cellStyle name="Normal 6 2 2 2 2 2" xfId="4919"/>
    <cellStyle name="Normal 6 2 2 2 3" xfId="3823"/>
    <cellStyle name="Normal 6 2 2 3" xfId="2178"/>
    <cellStyle name="Normal 6 2 2 3 2" xfId="4371"/>
    <cellStyle name="Normal 6 2 2 4" xfId="3275"/>
    <cellStyle name="Normal 6 2 3" xfId="1356"/>
    <cellStyle name="Normal 6 2 3 2" xfId="2452"/>
    <cellStyle name="Normal 6 2 3 2 2" xfId="4645"/>
    <cellStyle name="Normal 6 2 3 3" xfId="3549"/>
    <cellStyle name="Normal 6 2 4" xfId="1904"/>
    <cellStyle name="Normal 6 2 4 2" xfId="4097"/>
    <cellStyle name="Normal 6 2 5" xfId="3001"/>
    <cellStyle name="Normal 6 3" xfId="941"/>
    <cellStyle name="Normal 6 3 2" xfId="1493"/>
    <cellStyle name="Normal 6 3 2 2" xfId="2589"/>
    <cellStyle name="Normal 6 3 2 2 2" xfId="4782"/>
    <cellStyle name="Normal 6 3 2 3" xfId="3686"/>
    <cellStyle name="Normal 6 3 3" xfId="2041"/>
    <cellStyle name="Normal 6 3 3 2" xfId="4234"/>
    <cellStyle name="Normal 6 3 4" xfId="3138"/>
    <cellStyle name="Normal 6 4" xfId="1219"/>
    <cellStyle name="Normal 6 4 2" xfId="2315"/>
    <cellStyle name="Normal 6 4 2 2" xfId="4508"/>
    <cellStyle name="Normal 6 4 3" xfId="3412"/>
    <cellStyle name="Normal 6 5" xfId="1767"/>
    <cellStyle name="Normal 6 5 2" xfId="3960"/>
    <cellStyle name="Normal 6 6" xfId="2864"/>
    <cellStyle name="Normal 6_SocialSecuritySettings" xfId="1214"/>
    <cellStyle name="Normal 7" xfId="232"/>
    <cellStyle name="Normal 8" xfId="657"/>
    <cellStyle name="Normal 9" xfId="669"/>
    <cellStyle name="Normal_SocialSecuritySettings" xfId="1213"/>
    <cellStyle name="Percent" xfId="212" builtinId="5"/>
    <cellStyle name="Percent 2" xfId="222"/>
    <cellStyle name="Percent 3" xfId="224"/>
    <cellStyle name="Percent 3 10" xfId="1217"/>
    <cellStyle name="Percent 3 10 2" xfId="2313"/>
    <cellStyle name="Percent 3 10 2 2" xfId="4506"/>
    <cellStyle name="Percent 3 10 3" xfId="3410"/>
    <cellStyle name="Percent 3 11" xfId="1765"/>
    <cellStyle name="Percent 3 11 2" xfId="3958"/>
    <cellStyle name="Percent 3 12" xfId="2862"/>
    <cellStyle name="Percent 3 2" xfId="225"/>
    <cellStyle name="Percent 3 2 10" xfId="1766"/>
    <cellStyle name="Percent 3 2 10 2" xfId="3959"/>
    <cellStyle name="Percent 3 2 11" xfId="2863"/>
    <cellStyle name="Percent 3 2 2" xfId="448"/>
    <cellStyle name="Percent 3 2 2 10" xfId="2868"/>
    <cellStyle name="Percent 3 2 2 2" xfId="668"/>
    <cellStyle name="Percent 3 2 2 2 2" xfId="688"/>
    <cellStyle name="Percent 3 2 2 2 2 2" xfId="724"/>
    <cellStyle name="Percent 3 2 2 2 2 2 2" xfId="794"/>
    <cellStyle name="Percent 3 2 2 2 2 2 2 2" xfId="931"/>
    <cellStyle name="Percent 3 2 2 2 2 2 2 2 2" xfId="1206"/>
    <cellStyle name="Percent 3 2 2 2 2 2 2 2 2 2" xfId="1758"/>
    <cellStyle name="Percent 3 2 2 2 2 2 2 2 2 2 2" xfId="2854"/>
    <cellStyle name="Percent 3 2 2 2 2 2 2 2 2 2 2 2" xfId="5047"/>
    <cellStyle name="Percent 3 2 2 2 2 2 2 2 2 2 3" xfId="3951"/>
    <cellStyle name="Percent 3 2 2 2 2 2 2 2 2 3" xfId="2306"/>
    <cellStyle name="Percent 3 2 2 2 2 2 2 2 2 3 2" xfId="4499"/>
    <cellStyle name="Percent 3 2 2 2 2 2 2 2 2 4" xfId="3403"/>
    <cellStyle name="Percent 3 2 2 2 2 2 2 2 3" xfId="1484"/>
    <cellStyle name="Percent 3 2 2 2 2 2 2 2 3 2" xfId="2580"/>
    <cellStyle name="Percent 3 2 2 2 2 2 2 2 3 2 2" xfId="4773"/>
    <cellStyle name="Percent 3 2 2 2 2 2 2 2 3 3" xfId="3677"/>
    <cellStyle name="Percent 3 2 2 2 2 2 2 2 4" xfId="2032"/>
    <cellStyle name="Percent 3 2 2 2 2 2 2 2 4 2" xfId="4225"/>
    <cellStyle name="Percent 3 2 2 2 2 2 2 2 5" xfId="3129"/>
    <cellStyle name="Percent 3 2 2 2 2 2 2 3" xfId="1069"/>
    <cellStyle name="Percent 3 2 2 2 2 2 2 3 2" xfId="1621"/>
    <cellStyle name="Percent 3 2 2 2 2 2 2 3 2 2" xfId="2717"/>
    <cellStyle name="Percent 3 2 2 2 2 2 2 3 2 2 2" xfId="4910"/>
    <cellStyle name="Percent 3 2 2 2 2 2 2 3 2 3" xfId="3814"/>
    <cellStyle name="Percent 3 2 2 2 2 2 2 3 3" xfId="2169"/>
    <cellStyle name="Percent 3 2 2 2 2 2 2 3 3 2" xfId="4362"/>
    <cellStyle name="Percent 3 2 2 2 2 2 2 3 4" xfId="3266"/>
    <cellStyle name="Percent 3 2 2 2 2 2 2 4" xfId="1347"/>
    <cellStyle name="Percent 3 2 2 2 2 2 2 4 2" xfId="2443"/>
    <cellStyle name="Percent 3 2 2 2 2 2 2 4 2 2" xfId="4636"/>
    <cellStyle name="Percent 3 2 2 2 2 2 2 4 3" xfId="3540"/>
    <cellStyle name="Percent 3 2 2 2 2 2 2 5" xfId="1895"/>
    <cellStyle name="Percent 3 2 2 2 2 2 2 5 2" xfId="4088"/>
    <cellStyle name="Percent 3 2 2 2 2 2 2 6" xfId="2992"/>
    <cellStyle name="Percent 3 2 2 2 2 2 3" xfId="863"/>
    <cellStyle name="Percent 3 2 2 2 2 2 3 2" xfId="1138"/>
    <cellStyle name="Percent 3 2 2 2 2 2 3 2 2" xfId="1690"/>
    <cellStyle name="Percent 3 2 2 2 2 2 3 2 2 2" xfId="2786"/>
    <cellStyle name="Percent 3 2 2 2 2 2 3 2 2 2 2" xfId="4979"/>
    <cellStyle name="Percent 3 2 2 2 2 2 3 2 2 3" xfId="3883"/>
    <cellStyle name="Percent 3 2 2 2 2 2 3 2 3" xfId="2238"/>
    <cellStyle name="Percent 3 2 2 2 2 2 3 2 3 2" xfId="4431"/>
    <cellStyle name="Percent 3 2 2 2 2 2 3 2 4" xfId="3335"/>
    <cellStyle name="Percent 3 2 2 2 2 2 3 3" xfId="1416"/>
    <cellStyle name="Percent 3 2 2 2 2 2 3 3 2" xfId="2512"/>
    <cellStyle name="Percent 3 2 2 2 2 2 3 3 2 2" xfId="4705"/>
    <cellStyle name="Percent 3 2 2 2 2 2 3 3 3" xfId="3609"/>
    <cellStyle name="Percent 3 2 2 2 2 2 3 4" xfId="1964"/>
    <cellStyle name="Percent 3 2 2 2 2 2 3 4 2" xfId="4157"/>
    <cellStyle name="Percent 3 2 2 2 2 2 3 5" xfId="3061"/>
    <cellStyle name="Percent 3 2 2 2 2 2 4" xfId="1001"/>
    <cellStyle name="Percent 3 2 2 2 2 2 4 2" xfId="1553"/>
    <cellStyle name="Percent 3 2 2 2 2 2 4 2 2" xfId="2649"/>
    <cellStyle name="Percent 3 2 2 2 2 2 4 2 2 2" xfId="4842"/>
    <cellStyle name="Percent 3 2 2 2 2 2 4 2 3" xfId="3746"/>
    <cellStyle name="Percent 3 2 2 2 2 2 4 3" xfId="2101"/>
    <cellStyle name="Percent 3 2 2 2 2 2 4 3 2" xfId="4294"/>
    <cellStyle name="Percent 3 2 2 2 2 2 4 4" xfId="3198"/>
    <cellStyle name="Percent 3 2 2 2 2 2 5" xfId="1279"/>
    <cellStyle name="Percent 3 2 2 2 2 2 5 2" xfId="2375"/>
    <cellStyle name="Percent 3 2 2 2 2 2 5 2 2" xfId="4568"/>
    <cellStyle name="Percent 3 2 2 2 2 2 5 3" xfId="3472"/>
    <cellStyle name="Percent 3 2 2 2 2 2 6" xfId="1827"/>
    <cellStyle name="Percent 3 2 2 2 2 2 6 2" xfId="4020"/>
    <cellStyle name="Percent 3 2 2 2 2 2 7" xfId="2924"/>
    <cellStyle name="Percent 3 2 2 2 2 3" xfId="762"/>
    <cellStyle name="Percent 3 2 2 2 2 3 2" xfId="899"/>
    <cellStyle name="Percent 3 2 2 2 2 3 2 2" xfId="1174"/>
    <cellStyle name="Percent 3 2 2 2 2 3 2 2 2" xfId="1726"/>
    <cellStyle name="Percent 3 2 2 2 2 3 2 2 2 2" xfId="2822"/>
    <cellStyle name="Percent 3 2 2 2 2 3 2 2 2 2 2" xfId="5015"/>
    <cellStyle name="Percent 3 2 2 2 2 3 2 2 2 3" xfId="3919"/>
    <cellStyle name="Percent 3 2 2 2 2 3 2 2 3" xfId="2274"/>
    <cellStyle name="Percent 3 2 2 2 2 3 2 2 3 2" xfId="4467"/>
    <cellStyle name="Percent 3 2 2 2 2 3 2 2 4" xfId="3371"/>
    <cellStyle name="Percent 3 2 2 2 2 3 2 3" xfId="1452"/>
    <cellStyle name="Percent 3 2 2 2 2 3 2 3 2" xfId="2548"/>
    <cellStyle name="Percent 3 2 2 2 2 3 2 3 2 2" xfId="4741"/>
    <cellStyle name="Percent 3 2 2 2 2 3 2 3 3" xfId="3645"/>
    <cellStyle name="Percent 3 2 2 2 2 3 2 4" xfId="2000"/>
    <cellStyle name="Percent 3 2 2 2 2 3 2 4 2" xfId="4193"/>
    <cellStyle name="Percent 3 2 2 2 2 3 2 5" xfId="3097"/>
    <cellStyle name="Percent 3 2 2 2 2 3 3" xfId="1037"/>
    <cellStyle name="Percent 3 2 2 2 2 3 3 2" xfId="1589"/>
    <cellStyle name="Percent 3 2 2 2 2 3 3 2 2" xfId="2685"/>
    <cellStyle name="Percent 3 2 2 2 2 3 3 2 2 2" xfId="4878"/>
    <cellStyle name="Percent 3 2 2 2 2 3 3 2 3" xfId="3782"/>
    <cellStyle name="Percent 3 2 2 2 2 3 3 3" xfId="2137"/>
    <cellStyle name="Percent 3 2 2 2 2 3 3 3 2" xfId="4330"/>
    <cellStyle name="Percent 3 2 2 2 2 3 3 4" xfId="3234"/>
    <cellStyle name="Percent 3 2 2 2 2 3 4" xfId="1315"/>
    <cellStyle name="Percent 3 2 2 2 2 3 4 2" xfId="2411"/>
    <cellStyle name="Percent 3 2 2 2 2 3 4 2 2" xfId="4604"/>
    <cellStyle name="Percent 3 2 2 2 2 3 4 3" xfId="3508"/>
    <cellStyle name="Percent 3 2 2 2 2 3 5" xfId="1863"/>
    <cellStyle name="Percent 3 2 2 2 2 3 5 2" xfId="4056"/>
    <cellStyle name="Percent 3 2 2 2 2 3 6" xfId="2960"/>
    <cellStyle name="Percent 3 2 2 2 2 4" xfId="831"/>
    <cellStyle name="Percent 3 2 2 2 2 4 2" xfId="1106"/>
    <cellStyle name="Percent 3 2 2 2 2 4 2 2" xfId="1658"/>
    <cellStyle name="Percent 3 2 2 2 2 4 2 2 2" xfId="2754"/>
    <cellStyle name="Percent 3 2 2 2 2 4 2 2 2 2" xfId="4947"/>
    <cellStyle name="Percent 3 2 2 2 2 4 2 2 3" xfId="3851"/>
    <cellStyle name="Percent 3 2 2 2 2 4 2 3" xfId="2206"/>
    <cellStyle name="Percent 3 2 2 2 2 4 2 3 2" xfId="4399"/>
    <cellStyle name="Percent 3 2 2 2 2 4 2 4" xfId="3303"/>
    <cellStyle name="Percent 3 2 2 2 2 4 3" xfId="1384"/>
    <cellStyle name="Percent 3 2 2 2 2 4 3 2" xfId="2480"/>
    <cellStyle name="Percent 3 2 2 2 2 4 3 2 2" xfId="4673"/>
    <cellStyle name="Percent 3 2 2 2 2 4 3 3" xfId="3577"/>
    <cellStyle name="Percent 3 2 2 2 2 4 4" xfId="1932"/>
    <cellStyle name="Percent 3 2 2 2 2 4 4 2" xfId="4125"/>
    <cellStyle name="Percent 3 2 2 2 2 4 5" xfId="3029"/>
    <cellStyle name="Percent 3 2 2 2 2 5" xfId="969"/>
    <cellStyle name="Percent 3 2 2 2 2 5 2" xfId="1521"/>
    <cellStyle name="Percent 3 2 2 2 2 5 2 2" xfId="2617"/>
    <cellStyle name="Percent 3 2 2 2 2 5 2 2 2" xfId="4810"/>
    <cellStyle name="Percent 3 2 2 2 2 5 2 3" xfId="3714"/>
    <cellStyle name="Percent 3 2 2 2 2 5 3" xfId="2069"/>
    <cellStyle name="Percent 3 2 2 2 2 5 3 2" xfId="4262"/>
    <cellStyle name="Percent 3 2 2 2 2 5 4" xfId="3166"/>
    <cellStyle name="Percent 3 2 2 2 2 6" xfId="1247"/>
    <cellStyle name="Percent 3 2 2 2 2 6 2" xfId="2343"/>
    <cellStyle name="Percent 3 2 2 2 2 6 2 2" xfId="4536"/>
    <cellStyle name="Percent 3 2 2 2 2 6 3" xfId="3440"/>
    <cellStyle name="Percent 3 2 2 2 2 7" xfId="1795"/>
    <cellStyle name="Percent 3 2 2 2 2 7 2" xfId="3988"/>
    <cellStyle name="Percent 3 2 2 2 2 8" xfId="2892"/>
    <cellStyle name="Percent 3 2 2 2 3" xfId="708"/>
    <cellStyle name="Percent 3 2 2 2 3 2" xfId="778"/>
    <cellStyle name="Percent 3 2 2 2 3 2 2" xfId="915"/>
    <cellStyle name="Percent 3 2 2 2 3 2 2 2" xfId="1190"/>
    <cellStyle name="Percent 3 2 2 2 3 2 2 2 2" xfId="1742"/>
    <cellStyle name="Percent 3 2 2 2 3 2 2 2 2 2" xfId="2838"/>
    <cellStyle name="Percent 3 2 2 2 3 2 2 2 2 2 2" xfId="5031"/>
    <cellStyle name="Percent 3 2 2 2 3 2 2 2 2 3" xfId="3935"/>
    <cellStyle name="Percent 3 2 2 2 3 2 2 2 3" xfId="2290"/>
    <cellStyle name="Percent 3 2 2 2 3 2 2 2 3 2" xfId="4483"/>
    <cellStyle name="Percent 3 2 2 2 3 2 2 2 4" xfId="3387"/>
    <cellStyle name="Percent 3 2 2 2 3 2 2 3" xfId="1468"/>
    <cellStyle name="Percent 3 2 2 2 3 2 2 3 2" xfId="2564"/>
    <cellStyle name="Percent 3 2 2 2 3 2 2 3 2 2" xfId="4757"/>
    <cellStyle name="Percent 3 2 2 2 3 2 2 3 3" xfId="3661"/>
    <cellStyle name="Percent 3 2 2 2 3 2 2 4" xfId="2016"/>
    <cellStyle name="Percent 3 2 2 2 3 2 2 4 2" xfId="4209"/>
    <cellStyle name="Percent 3 2 2 2 3 2 2 5" xfId="3113"/>
    <cellStyle name="Percent 3 2 2 2 3 2 3" xfId="1053"/>
    <cellStyle name="Percent 3 2 2 2 3 2 3 2" xfId="1605"/>
    <cellStyle name="Percent 3 2 2 2 3 2 3 2 2" xfId="2701"/>
    <cellStyle name="Percent 3 2 2 2 3 2 3 2 2 2" xfId="4894"/>
    <cellStyle name="Percent 3 2 2 2 3 2 3 2 3" xfId="3798"/>
    <cellStyle name="Percent 3 2 2 2 3 2 3 3" xfId="2153"/>
    <cellStyle name="Percent 3 2 2 2 3 2 3 3 2" xfId="4346"/>
    <cellStyle name="Percent 3 2 2 2 3 2 3 4" xfId="3250"/>
    <cellStyle name="Percent 3 2 2 2 3 2 4" xfId="1331"/>
    <cellStyle name="Percent 3 2 2 2 3 2 4 2" xfId="2427"/>
    <cellStyle name="Percent 3 2 2 2 3 2 4 2 2" xfId="4620"/>
    <cellStyle name="Percent 3 2 2 2 3 2 4 3" xfId="3524"/>
    <cellStyle name="Percent 3 2 2 2 3 2 5" xfId="1879"/>
    <cellStyle name="Percent 3 2 2 2 3 2 5 2" xfId="4072"/>
    <cellStyle name="Percent 3 2 2 2 3 2 6" xfId="2976"/>
    <cellStyle name="Percent 3 2 2 2 3 3" xfId="847"/>
    <cellStyle name="Percent 3 2 2 2 3 3 2" xfId="1122"/>
    <cellStyle name="Percent 3 2 2 2 3 3 2 2" xfId="1674"/>
    <cellStyle name="Percent 3 2 2 2 3 3 2 2 2" xfId="2770"/>
    <cellStyle name="Percent 3 2 2 2 3 3 2 2 2 2" xfId="4963"/>
    <cellStyle name="Percent 3 2 2 2 3 3 2 2 3" xfId="3867"/>
    <cellStyle name="Percent 3 2 2 2 3 3 2 3" xfId="2222"/>
    <cellStyle name="Percent 3 2 2 2 3 3 2 3 2" xfId="4415"/>
    <cellStyle name="Percent 3 2 2 2 3 3 2 4" xfId="3319"/>
    <cellStyle name="Percent 3 2 2 2 3 3 3" xfId="1400"/>
    <cellStyle name="Percent 3 2 2 2 3 3 3 2" xfId="2496"/>
    <cellStyle name="Percent 3 2 2 2 3 3 3 2 2" xfId="4689"/>
    <cellStyle name="Percent 3 2 2 2 3 3 3 3" xfId="3593"/>
    <cellStyle name="Percent 3 2 2 2 3 3 4" xfId="1948"/>
    <cellStyle name="Percent 3 2 2 2 3 3 4 2" xfId="4141"/>
    <cellStyle name="Percent 3 2 2 2 3 3 5" xfId="3045"/>
    <cellStyle name="Percent 3 2 2 2 3 4" xfId="985"/>
    <cellStyle name="Percent 3 2 2 2 3 4 2" xfId="1537"/>
    <cellStyle name="Percent 3 2 2 2 3 4 2 2" xfId="2633"/>
    <cellStyle name="Percent 3 2 2 2 3 4 2 2 2" xfId="4826"/>
    <cellStyle name="Percent 3 2 2 2 3 4 2 3" xfId="3730"/>
    <cellStyle name="Percent 3 2 2 2 3 4 3" xfId="2085"/>
    <cellStyle name="Percent 3 2 2 2 3 4 3 2" xfId="4278"/>
    <cellStyle name="Percent 3 2 2 2 3 4 4" xfId="3182"/>
    <cellStyle name="Percent 3 2 2 2 3 5" xfId="1263"/>
    <cellStyle name="Percent 3 2 2 2 3 5 2" xfId="2359"/>
    <cellStyle name="Percent 3 2 2 2 3 5 2 2" xfId="4552"/>
    <cellStyle name="Percent 3 2 2 2 3 5 3" xfId="3456"/>
    <cellStyle name="Percent 3 2 2 2 3 6" xfId="1811"/>
    <cellStyle name="Percent 3 2 2 2 3 6 2" xfId="4004"/>
    <cellStyle name="Percent 3 2 2 2 3 7" xfId="2908"/>
    <cellStyle name="Percent 3 2 2 2 4" xfId="746"/>
    <cellStyle name="Percent 3 2 2 2 4 2" xfId="883"/>
    <cellStyle name="Percent 3 2 2 2 4 2 2" xfId="1158"/>
    <cellStyle name="Percent 3 2 2 2 4 2 2 2" xfId="1710"/>
    <cellStyle name="Percent 3 2 2 2 4 2 2 2 2" xfId="2806"/>
    <cellStyle name="Percent 3 2 2 2 4 2 2 2 2 2" xfId="4999"/>
    <cellStyle name="Percent 3 2 2 2 4 2 2 2 3" xfId="3903"/>
    <cellStyle name="Percent 3 2 2 2 4 2 2 3" xfId="2258"/>
    <cellStyle name="Percent 3 2 2 2 4 2 2 3 2" xfId="4451"/>
    <cellStyle name="Percent 3 2 2 2 4 2 2 4" xfId="3355"/>
    <cellStyle name="Percent 3 2 2 2 4 2 3" xfId="1436"/>
    <cellStyle name="Percent 3 2 2 2 4 2 3 2" xfId="2532"/>
    <cellStyle name="Percent 3 2 2 2 4 2 3 2 2" xfId="4725"/>
    <cellStyle name="Percent 3 2 2 2 4 2 3 3" xfId="3629"/>
    <cellStyle name="Percent 3 2 2 2 4 2 4" xfId="1984"/>
    <cellStyle name="Percent 3 2 2 2 4 2 4 2" xfId="4177"/>
    <cellStyle name="Percent 3 2 2 2 4 2 5" xfId="3081"/>
    <cellStyle name="Percent 3 2 2 2 4 3" xfId="1021"/>
    <cellStyle name="Percent 3 2 2 2 4 3 2" xfId="1573"/>
    <cellStyle name="Percent 3 2 2 2 4 3 2 2" xfId="2669"/>
    <cellStyle name="Percent 3 2 2 2 4 3 2 2 2" xfId="4862"/>
    <cellStyle name="Percent 3 2 2 2 4 3 2 3" xfId="3766"/>
    <cellStyle name="Percent 3 2 2 2 4 3 3" xfId="2121"/>
    <cellStyle name="Percent 3 2 2 2 4 3 3 2" xfId="4314"/>
    <cellStyle name="Percent 3 2 2 2 4 3 4" xfId="3218"/>
    <cellStyle name="Percent 3 2 2 2 4 4" xfId="1299"/>
    <cellStyle name="Percent 3 2 2 2 4 4 2" xfId="2395"/>
    <cellStyle name="Percent 3 2 2 2 4 4 2 2" xfId="4588"/>
    <cellStyle name="Percent 3 2 2 2 4 4 3" xfId="3492"/>
    <cellStyle name="Percent 3 2 2 2 4 5" xfId="1847"/>
    <cellStyle name="Percent 3 2 2 2 4 5 2" xfId="4040"/>
    <cellStyle name="Percent 3 2 2 2 4 6" xfId="2944"/>
    <cellStyle name="Percent 3 2 2 2 5" xfId="815"/>
    <cellStyle name="Percent 3 2 2 2 5 2" xfId="1090"/>
    <cellStyle name="Percent 3 2 2 2 5 2 2" xfId="1642"/>
    <cellStyle name="Percent 3 2 2 2 5 2 2 2" xfId="2738"/>
    <cellStyle name="Percent 3 2 2 2 5 2 2 2 2" xfId="4931"/>
    <cellStyle name="Percent 3 2 2 2 5 2 2 3" xfId="3835"/>
    <cellStyle name="Percent 3 2 2 2 5 2 3" xfId="2190"/>
    <cellStyle name="Percent 3 2 2 2 5 2 3 2" xfId="4383"/>
    <cellStyle name="Percent 3 2 2 2 5 2 4" xfId="3287"/>
    <cellStyle name="Percent 3 2 2 2 5 3" xfId="1368"/>
    <cellStyle name="Percent 3 2 2 2 5 3 2" xfId="2464"/>
    <cellStyle name="Percent 3 2 2 2 5 3 2 2" xfId="4657"/>
    <cellStyle name="Percent 3 2 2 2 5 3 3" xfId="3561"/>
    <cellStyle name="Percent 3 2 2 2 5 4" xfId="1916"/>
    <cellStyle name="Percent 3 2 2 2 5 4 2" xfId="4109"/>
    <cellStyle name="Percent 3 2 2 2 5 5" xfId="3013"/>
    <cellStyle name="Percent 3 2 2 2 6" xfId="953"/>
    <cellStyle name="Percent 3 2 2 2 6 2" xfId="1505"/>
    <cellStyle name="Percent 3 2 2 2 6 2 2" xfId="2601"/>
    <cellStyle name="Percent 3 2 2 2 6 2 2 2" xfId="4794"/>
    <cellStyle name="Percent 3 2 2 2 6 2 3" xfId="3698"/>
    <cellStyle name="Percent 3 2 2 2 6 3" xfId="2053"/>
    <cellStyle name="Percent 3 2 2 2 6 3 2" xfId="4246"/>
    <cellStyle name="Percent 3 2 2 2 6 4" xfId="3150"/>
    <cellStyle name="Percent 3 2 2 2 7" xfId="1231"/>
    <cellStyle name="Percent 3 2 2 2 7 2" xfId="2327"/>
    <cellStyle name="Percent 3 2 2 2 7 2 2" xfId="4520"/>
    <cellStyle name="Percent 3 2 2 2 7 3" xfId="3424"/>
    <cellStyle name="Percent 3 2 2 2 8" xfId="1779"/>
    <cellStyle name="Percent 3 2 2 2 8 2" xfId="3972"/>
    <cellStyle name="Percent 3 2 2 2 9" xfId="2876"/>
    <cellStyle name="Percent 3 2 2 3" xfId="680"/>
    <cellStyle name="Percent 3 2 2 3 2" xfId="716"/>
    <cellStyle name="Percent 3 2 2 3 2 2" xfId="786"/>
    <cellStyle name="Percent 3 2 2 3 2 2 2" xfId="923"/>
    <cellStyle name="Percent 3 2 2 3 2 2 2 2" xfId="1198"/>
    <cellStyle name="Percent 3 2 2 3 2 2 2 2 2" xfId="1750"/>
    <cellStyle name="Percent 3 2 2 3 2 2 2 2 2 2" xfId="2846"/>
    <cellStyle name="Percent 3 2 2 3 2 2 2 2 2 2 2" xfId="5039"/>
    <cellStyle name="Percent 3 2 2 3 2 2 2 2 2 3" xfId="3943"/>
    <cellStyle name="Percent 3 2 2 3 2 2 2 2 3" xfId="2298"/>
    <cellStyle name="Percent 3 2 2 3 2 2 2 2 3 2" xfId="4491"/>
    <cellStyle name="Percent 3 2 2 3 2 2 2 2 4" xfId="3395"/>
    <cellStyle name="Percent 3 2 2 3 2 2 2 3" xfId="1476"/>
    <cellStyle name="Percent 3 2 2 3 2 2 2 3 2" xfId="2572"/>
    <cellStyle name="Percent 3 2 2 3 2 2 2 3 2 2" xfId="4765"/>
    <cellStyle name="Percent 3 2 2 3 2 2 2 3 3" xfId="3669"/>
    <cellStyle name="Percent 3 2 2 3 2 2 2 4" xfId="2024"/>
    <cellStyle name="Percent 3 2 2 3 2 2 2 4 2" xfId="4217"/>
    <cellStyle name="Percent 3 2 2 3 2 2 2 5" xfId="3121"/>
    <cellStyle name="Percent 3 2 2 3 2 2 3" xfId="1061"/>
    <cellStyle name="Percent 3 2 2 3 2 2 3 2" xfId="1613"/>
    <cellStyle name="Percent 3 2 2 3 2 2 3 2 2" xfId="2709"/>
    <cellStyle name="Percent 3 2 2 3 2 2 3 2 2 2" xfId="4902"/>
    <cellStyle name="Percent 3 2 2 3 2 2 3 2 3" xfId="3806"/>
    <cellStyle name="Percent 3 2 2 3 2 2 3 3" xfId="2161"/>
    <cellStyle name="Percent 3 2 2 3 2 2 3 3 2" xfId="4354"/>
    <cellStyle name="Percent 3 2 2 3 2 2 3 4" xfId="3258"/>
    <cellStyle name="Percent 3 2 2 3 2 2 4" xfId="1339"/>
    <cellStyle name="Percent 3 2 2 3 2 2 4 2" xfId="2435"/>
    <cellStyle name="Percent 3 2 2 3 2 2 4 2 2" xfId="4628"/>
    <cellStyle name="Percent 3 2 2 3 2 2 4 3" xfId="3532"/>
    <cellStyle name="Percent 3 2 2 3 2 2 5" xfId="1887"/>
    <cellStyle name="Percent 3 2 2 3 2 2 5 2" xfId="4080"/>
    <cellStyle name="Percent 3 2 2 3 2 2 6" xfId="2984"/>
    <cellStyle name="Percent 3 2 2 3 2 3" xfId="855"/>
    <cellStyle name="Percent 3 2 2 3 2 3 2" xfId="1130"/>
    <cellStyle name="Percent 3 2 2 3 2 3 2 2" xfId="1682"/>
    <cellStyle name="Percent 3 2 2 3 2 3 2 2 2" xfId="2778"/>
    <cellStyle name="Percent 3 2 2 3 2 3 2 2 2 2" xfId="4971"/>
    <cellStyle name="Percent 3 2 2 3 2 3 2 2 3" xfId="3875"/>
    <cellStyle name="Percent 3 2 2 3 2 3 2 3" xfId="2230"/>
    <cellStyle name="Percent 3 2 2 3 2 3 2 3 2" xfId="4423"/>
    <cellStyle name="Percent 3 2 2 3 2 3 2 4" xfId="3327"/>
    <cellStyle name="Percent 3 2 2 3 2 3 3" xfId="1408"/>
    <cellStyle name="Percent 3 2 2 3 2 3 3 2" xfId="2504"/>
    <cellStyle name="Percent 3 2 2 3 2 3 3 2 2" xfId="4697"/>
    <cellStyle name="Percent 3 2 2 3 2 3 3 3" xfId="3601"/>
    <cellStyle name="Percent 3 2 2 3 2 3 4" xfId="1956"/>
    <cellStyle name="Percent 3 2 2 3 2 3 4 2" xfId="4149"/>
    <cellStyle name="Percent 3 2 2 3 2 3 5" xfId="3053"/>
    <cellStyle name="Percent 3 2 2 3 2 4" xfId="993"/>
    <cellStyle name="Percent 3 2 2 3 2 4 2" xfId="1545"/>
    <cellStyle name="Percent 3 2 2 3 2 4 2 2" xfId="2641"/>
    <cellStyle name="Percent 3 2 2 3 2 4 2 2 2" xfId="4834"/>
    <cellStyle name="Percent 3 2 2 3 2 4 2 3" xfId="3738"/>
    <cellStyle name="Percent 3 2 2 3 2 4 3" xfId="2093"/>
    <cellStyle name="Percent 3 2 2 3 2 4 3 2" xfId="4286"/>
    <cellStyle name="Percent 3 2 2 3 2 4 4" xfId="3190"/>
    <cellStyle name="Percent 3 2 2 3 2 5" xfId="1271"/>
    <cellStyle name="Percent 3 2 2 3 2 5 2" xfId="2367"/>
    <cellStyle name="Percent 3 2 2 3 2 5 2 2" xfId="4560"/>
    <cellStyle name="Percent 3 2 2 3 2 5 3" xfId="3464"/>
    <cellStyle name="Percent 3 2 2 3 2 6" xfId="1819"/>
    <cellStyle name="Percent 3 2 2 3 2 6 2" xfId="4012"/>
    <cellStyle name="Percent 3 2 2 3 2 7" xfId="2916"/>
    <cellStyle name="Percent 3 2 2 3 3" xfId="754"/>
    <cellStyle name="Percent 3 2 2 3 3 2" xfId="891"/>
    <cellStyle name="Percent 3 2 2 3 3 2 2" xfId="1166"/>
    <cellStyle name="Percent 3 2 2 3 3 2 2 2" xfId="1718"/>
    <cellStyle name="Percent 3 2 2 3 3 2 2 2 2" xfId="2814"/>
    <cellStyle name="Percent 3 2 2 3 3 2 2 2 2 2" xfId="5007"/>
    <cellStyle name="Percent 3 2 2 3 3 2 2 2 3" xfId="3911"/>
    <cellStyle name="Percent 3 2 2 3 3 2 2 3" xfId="2266"/>
    <cellStyle name="Percent 3 2 2 3 3 2 2 3 2" xfId="4459"/>
    <cellStyle name="Percent 3 2 2 3 3 2 2 4" xfId="3363"/>
    <cellStyle name="Percent 3 2 2 3 3 2 3" xfId="1444"/>
    <cellStyle name="Percent 3 2 2 3 3 2 3 2" xfId="2540"/>
    <cellStyle name="Percent 3 2 2 3 3 2 3 2 2" xfId="4733"/>
    <cellStyle name="Percent 3 2 2 3 3 2 3 3" xfId="3637"/>
    <cellStyle name="Percent 3 2 2 3 3 2 4" xfId="1992"/>
    <cellStyle name="Percent 3 2 2 3 3 2 4 2" xfId="4185"/>
    <cellStyle name="Percent 3 2 2 3 3 2 5" xfId="3089"/>
    <cellStyle name="Percent 3 2 2 3 3 3" xfId="1029"/>
    <cellStyle name="Percent 3 2 2 3 3 3 2" xfId="1581"/>
    <cellStyle name="Percent 3 2 2 3 3 3 2 2" xfId="2677"/>
    <cellStyle name="Percent 3 2 2 3 3 3 2 2 2" xfId="4870"/>
    <cellStyle name="Percent 3 2 2 3 3 3 2 3" xfId="3774"/>
    <cellStyle name="Percent 3 2 2 3 3 3 3" xfId="2129"/>
    <cellStyle name="Percent 3 2 2 3 3 3 3 2" xfId="4322"/>
    <cellStyle name="Percent 3 2 2 3 3 3 4" xfId="3226"/>
    <cellStyle name="Percent 3 2 2 3 3 4" xfId="1307"/>
    <cellStyle name="Percent 3 2 2 3 3 4 2" xfId="2403"/>
    <cellStyle name="Percent 3 2 2 3 3 4 2 2" xfId="4596"/>
    <cellStyle name="Percent 3 2 2 3 3 4 3" xfId="3500"/>
    <cellStyle name="Percent 3 2 2 3 3 5" xfId="1855"/>
    <cellStyle name="Percent 3 2 2 3 3 5 2" xfId="4048"/>
    <cellStyle name="Percent 3 2 2 3 3 6" xfId="2952"/>
    <cellStyle name="Percent 3 2 2 3 4" xfId="823"/>
    <cellStyle name="Percent 3 2 2 3 4 2" xfId="1098"/>
    <cellStyle name="Percent 3 2 2 3 4 2 2" xfId="1650"/>
    <cellStyle name="Percent 3 2 2 3 4 2 2 2" xfId="2746"/>
    <cellStyle name="Percent 3 2 2 3 4 2 2 2 2" xfId="4939"/>
    <cellStyle name="Percent 3 2 2 3 4 2 2 3" xfId="3843"/>
    <cellStyle name="Percent 3 2 2 3 4 2 3" xfId="2198"/>
    <cellStyle name="Percent 3 2 2 3 4 2 3 2" xfId="4391"/>
    <cellStyle name="Percent 3 2 2 3 4 2 4" xfId="3295"/>
    <cellStyle name="Percent 3 2 2 3 4 3" xfId="1376"/>
    <cellStyle name="Percent 3 2 2 3 4 3 2" xfId="2472"/>
    <cellStyle name="Percent 3 2 2 3 4 3 2 2" xfId="4665"/>
    <cellStyle name="Percent 3 2 2 3 4 3 3" xfId="3569"/>
    <cellStyle name="Percent 3 2 2 3 4 4" xfId="1924"/>
    <cellStyle name="Percent 3 2 2 3 4 4 2" xfId="4117"/>
    <cellStyle name="Percent 3 2 2 3 4 5" xfId="3021"/>
    <cellStyle name="Percent 3 2 2 3 5" xfId="961"/>
    <cellStyle name="Percent 3 2 2 3 5 2" xfId="1513"/>
    <cellStyle name="Percent 3 2 2 3 5 2 2" xfId="2609"/>
    <cellStyle name="Percent 3 2 2 3 5 2 2 2" xfId="4802"/>
    <cellStyle name="Percent 3 2 2 3 5 2 3" xfId="3706"/>
    <cellStyle name="Percent 3 2 2 3 5 3" xfId="2061"/>
    <cellStyle name="Percent 3 2 2 3 5 3 2" xfId="4254"/>
    <cellStyle name="Percent 3 2 2 3 5 4" xfId="3158"/>
    <cellStyle name="Percent 3 2 2 3 6" xfId="1239"/>
    <cellStyle name="Percent 3 2 2 3 6 2" xfId="2335"/>
    <cellStyle name="Percent 3 2 2 3 6 2 2" xfId="4528"/>
    <cellStyle name="Percent 3 2 2 3 6 3" xfId="3432"/>
    <cellStyle name="Percent 3 2 2 3 7" xfId="1787"/>
    <cellStyle name="Percent 3 2 2 3 7 2" xfId="3980"/>
    <cellStyle name="Percent 3 2 2 3 8" xfId="2884"/>
    <cellStyle name="Percent 3 2 2 4" xfId="700"/>
    <cellStyle name="Percent 3 2 2 4 2" xfId="770"/>
    <cellStyle name="Percent 3 2 2 4 2 2" xfId="907"/>
    <cellStyle name="Percent 3 2 2 4 2 2 2" xfId="1182"/>
    <cellStyle name="Percent 3 2 2 4 2 2 2 2" xfId="1734"/>
    <cellStyle name="Percent 3 2 2 4 2 2 2 2 2" xfId="2830"/>
    <cellStyle name="Percent 3 2 2 4 2 2 2 2 2 2" xfId="5023"/>
    <cellStyle name="Percent 3 2 2 4 2 2 2 2 3" xfId="3927"/>
    <cellStyle name="Percent 3 2 2 4 2 2 2 3" xfId="2282"/>
    <cellStyle name="Percent 3 2 2 4 2 2 2 3 2" xfId="4475"/>
    <cellStyle name="Percent 3 2 2 4 2 2 2 4" xfId="3379"/>
    <cellStyle name="Percent 3 2 2 4 2 2 3" xfId="1460"/>
    <cellStyle name="Percent 3 2 2 4 2 2 3 2" xfId="2556"/>
    <cellStyle name="Percent 3 2 2 4 2 2 3 2 2" xfId="4749"/>
    <cellStyle name="Percent 3 2 2 4 2 2 3 3" xfId="3653"/>
    <cellStyle name="Percent 3 2 2 4 2 2 4" xfId="2008"/>
    <cellStyle name="Percent 3 2 2 4 2 2 4 2" xfId="4201"/>
    <cellStyle name="Percent 3 2 2 4 2 2 5" xfId="3105"/>
    <cellStyle name="Percent 3 2 2 4 2 3" xfId="1045"/>
    <cellStyle name="Percent 3 2 2 4 2 3 2" xfId="1597"/>
    <cellStyle name="Percent 3 2 2 4 2 3 2 2" xfId="2693"/>
    <cellStyle name="Percent 3 2 2 4 2 3 2 2 2" xfId="4886"/>
    <cellStyle name="Percent 3 2 2 4 2 3 2 3" xfId="3790"/>
    <cellStyle name="Percent 3 2 2 4 2 3 3" xfId="2145"/>
    <cellStyle name="Percent 3 2 2 4 2 3 3 2" xfId="4338"/>
    <cellStyle name="Percent 3 2 2 4 2 3 4" xfId="3242"/>
    <cellStyle name="Percent 3 2 2 4 2 4" xfId="1323"/>
    <cellStyle name="Percent 3 2 2 4 2 4 2" xfId="2419"/>
    <cellStyle name="Percent 3 2 2 4 2 4 2 2" xfId="4612"/>
    <cellStyle name="Percent 3 2 2 4 2 4 3" xfId="3516"/>
    <cellStyle name="Percent 3 2 2 4 2 5" xfId="1871"/>
    <cellStyle name="Percent 3 2 2 4 2 5 2" xfId="4064"/>
    <cellStyle name="Percent 3 2 2 4 2 6" xfId="2968"/>
    <cellStyle name="Percent 3 2 2 4 3" xfId="839"/>
    <cellStyle name="Percent 3 2 2 4 3 2" xfId="1114"/>
    <cellStyle name="Percent 3 2 2 4 3 2 2" xfId="1666"/>
    <cellStyle name="Percent 3 2 2 4 3 2 2 2" xfId="2762"/>
    <cellStyle name="Percent 3 2 2 4 3 2 2 2 2" xfId="4955"/>
    <cellStyle name="Percent 3 2 2 4 3 2 2 3" xfId="3859"/>
    <cellStyle name="Percent 3 2 2 4 3 2 3" xfId="2214"/>
    <cellStyle name="Percent 3 2 2 4 3 2 3 2" xfId="4407"/>
    <cellStyle name="Percent 3 2 2 4 3 2 4" xfId="3311"/>
    <cellStyle name="Percent 3 2 2 4 3 3" xfId="1392"/>
    <cellStyle name="Percent 3 2 2 4 3 3 2" xfId="2488"/>
    <cellStyle name="Percent 3 2 2 4 3 3 2 2" xfId="4681"/>
    <cellStyle name="Percent 3 2 2 4 3 3 3" xfId="3585"/>
    <cellStyle name="Percent 3 2 2 4 3 4" xfId="1940"/>
    <cellStyle name="Percent 3 2 2 4 3 4 2" xfId="4133"/>
    <cellStyle name="Percent 3 2 2 4 3 5" xfId="3037"/>
    <cellStyle name="Percent 3 2 2 4 4" xfId="977"/>
    <cellStyle name="Percent 3 2 2 4 4 2" xfId="1529"/>
    <cellStyle name="Percent 3 2 2 4 4 2 2" xfId="2625"/>
    <cellStyle name="Percent 3 2 2 4 4 2 2 2" xfId="4818"/>
    <cellStyle name="Percent 3 2 2 4 4 2 3" xfId="3722"/>
    <cellStyle name="Percent 3 2 2 4 4 3" xfId="2077"/>
    <cellStyle name="Percent 3 2 2 4 4 3 2" xfId="4270"/>
    <cellStyle name="Percent 3 2 2 4 4 4" xfId="3174"/>
    <cellStyle name="Percent 3 2 2 4 5" xfId="1255"/>
    <cellStyle name="Percent 3 2 2 4 5 2" xfId="2351"/>
    <cellStyle name="Percent 3 2 2 4 5 2 2" xfId="4544"/>
    <cellStyle name="Percent 3 2 2 4 5 3" xfId="3448"/>
    <cellStyle name="Percent 3 2 2 4 6" xfId="1803"/>
    <cellStyle name="Percent 3 2 2 4 6 2" xfId="3996"/>
    <cellStyle name="Percent 3 2 2 4 7" xfId="2900"/>
    <cellStyle name="Percent 3 2 2 5" xfId="738"/>
    <cellStyle name="Percent 3 2 2 5 2" xfId="875"/>
    <cellStyle name="Percent 3 2 2 5 2 2" xfId="1150"/>
    <cellStyle name="Percent 3 2 2 5 2 2 2" xfId="1702"/>
    <cellStyle name="Percent 3 2 2 5 2 2 2 2" xfId="2798"/>
    <cellStyle name="Percent 3 2 2 5 2 2 2 2 2" xfId="4991"/>
    <cellStyle name="Percent 3 2 2 5 2 2 2 3" xfId="3895"/>
    <cellStyle name="Percent 3 2 2 5 2 2 3" xfId="2250"/>
    <cellStyle name="Percent 3 2 2 5 2 2 3 2" xfId="4443"/>
    <cellStyle name="Percent 3 2 2 5 2 2 4" xfId="3347"/>
    <cellStyle name="Percent 3 2 2 5 2 3" xfId="1428"/>
    <cellStyle name="Percent 3 2 2 5 2 3 2" xfId="2524"/>
    <cellStyle name="Percent 3 2 2 5 2 3 2 2" xfId="4717"/>
    <cellStyle name="Percent 3 2 2 5 2 3 3" xfId="3621"/>
    <cellStyle name="Percent 3 2 2 5 2 4" xfId="1976"/>
    <cellStyle name="Percent 3 2 2 5 2 4 2" xfId="4169"/>
    <cellStyle name="Percent 3 2 2 5 2 5" xfId="3073"/>
    <cellStyle name="Percent 3 2 2 5 3" xfId="1013"/>
    <cellStyle name="Percent 3 2 2 5 3 2" xfId="1565"/>
    <cellStyle name="Percent 3 2 2 5 3 2 2" xfId="2661"/>
    <cellStyle name="Percent 3 2 2 5 3 2 2 2" xfId="4854"/>
    <cellStyle name="Percent 3 2 2 5 3 2 3" xfId="3758"/>
    <cellStyle name="Percent 3 2 2 5 3 3" xfId="2113"/>
    <cellStyle name="Percent 3 2 2 5 3 3 2" xfId="4306"/>
    <cellStyle name="Percent 3 2 2 5 3 4" xfId="3210"/>
    <cellStyle name="Percent 3 2 2 5 4" xfId="1291"/>
    <cellStyle name="Percent 3 2 2 5 4 2" xfId="2387"/>
    <cellStyle name="Percent 3 2 2 5 4 2 2" xfId="4580"/>
    <cellStyle name="Percent 3 2 2 5 4 3" xfId="3484"/>
    <cellStyle name="Percent 3 2 2 5 5" xfId="1839"/>
    <cellStyle name="Percent 3 2 2 5 5 2" xfId="4032"/>
    <cellStyle name="Percent 3 2 2 5 6" xfId="2936"/>
    <cellStyle name="Percent 3 2 2 6" xfId="807"/>
    <cellStyle name="Percent 3 2 2 6 2" xfId="1082"/>
    <cellStyle name="Percent 3 2 2 6 2 2" xfId="1634"/>
    <cellStyle name="Percent 3 2 2 6 2 2 2" xfId="2730"/>
    <cellStyle name="Percent 3 2 2 6 2 2 2 2" xfId="4923"/>
    <cellStyle name="Percent 3 2 2 6 2 2 3" xfId="3827"/>
    <cellStyle name="Percent 3 2 2 6 2 3" xfId="2182"/>
    <cellStyle name="Percent 3 2 2 6 2 3 2" xfId="4375"/>
    <cellStyle name="Percent 3 2 2 6 2 4" xfId="3279"/>
    <cellStyle name="Percent 3 2 2 6 3" xfId="1360"/>
    <cellStyle name="Percent 3 2 2 6 3 2" xfId="2456"/>
    <cellStyle name="Percent 3 2 2 6 3 2 2" xfId="4649"/>
    <cellStyle name="Percent 3 2 2 6 3 3" xfId="3553"/>
    <cellStyle name="Percent 3 2 2 6 4" xfId="1908"/>
    <cellStyle name="Percent 3 2 2 6 4 2" xfId="4101"/>
    <cellStyle name="Percent 3 2 2 6 5" xfId="3005"/>
    <cellStyle name="Percent 3 2 2 7" xfId="945"/>
    <cellStyle name="Percent 3 2 2 7 2" xfId="1497"/>
    <cellStyle name="Percent 3 2 2 7 2 2" xfId="2593"/>
    <cellStyle name="Percent 3 2 2 7 2 2 2" xfId="4786"/>
    <cellStyle name="Percent 3 2 2 7 2 3" xfId="3690"/>
    <cellStyle name="Percent 3 2 2 7 3" xfId="2045"/>
    <cellStyle name="Percent 3 2 2 7 3 2" xfId="4238"/>
    <cellStyle name="Percent 3 2 2 7 4" xfId="3142"/>
    <cellStyle name="Percent 3 2 2 8" xfId="1223"/>
    <cellStyle name="Percent 3 2 2 8 2" xfId="2319"/>
    <cellStyle name="Percent 3 2 2 8 2 2" xfId="4512"/>
    <cellStyle name="Percent 3 2 2 8 3" xfId="3416"/>
    <cellStyle name="Percent 3 2 2 9" xfId="1771"/>
    <cellStyle name="Percent 3 2 2 9 2" xfId="3964"/>
    <cellStyle name="Percent 3 2 3" xfId="664"/>
    <cellStyle name="Percent 3 2 3 2" xfId="684"/>
    <cellStyle name="Percent 3 2 3 2 2" xfId="720"/>
    <cellStyle name="Percent 3 2 3 2 2 2" xfId="790"/>
    <cellStyle name="Percent 3 2 3 2 2 2 2" xfId="927"/>
    <cellStyle name="Percent 3 2 3 2 2 2 2 2" xfId="1202"/>
    <cellStyle name="Percent 3 2 3 2 2 2 2 2 2" xfId="1754"/>
    <cellStyle name="Percent 3 2 3 2 2 2 2 2 2 2" xfId="2850"/>
    <cellStyle name="Percent 3 2 3 2 2 2 2 2 2 2 2" xfId="5043"/>
    <cellStyle name="Percent 3 2 3 2 2 2 2 2 2 3" xfId="3947"/>
    <cellStyle name="Percent 3 2 3 2 2 2 2 2 3" xfId="2302"/>
    <cellStyle name="Percent 3 2 3 2 2 2 2 2 3 2" xfId="4495"/>
    <cellStyle name="Percent 3 2 3 2 2 2 2 2 4" xfId="3399"/>
    <cellStyle name="Percent 3 2 3 2 2 2 2 3" xfId="1480"/>
    <cellStyle name="Percent 3 2 3 2 2 2 2 3 2" xfId="2576"/>
    <cellStyle name="Percent 3 2 3 2 2 2 2 3 2 2" xfId="4769"/>
    <cellStyle name="Percent 3 2 3 2 2 2 2 3 3" xfId="3673"/>
    <cellStyle name="Percent 3 2 3 2 2 2 2 4" xfId="2028"/>
    <cellStyle name="Percent 3 2 3 2 2 2 2 4 2" xfId="4221"/>
    <cellStyle name="Percent 3 2 3 2 2 2 2 5" xfId="3125"/>
    <cellStyle name="Percent 3 2 3 2 2 2 3" xfId="1065"/>
    <cellStyle name="Percent 3 2 3 2 2 2 3 2" xfId="1617"/>
    <cellStyle name="Percent 3 2 3 2 2 2 3 2 2" xfId="2713"/>
    <cellStyle name="Percent 3 2 3 2 2 2 3 2 2 2" xfId="4906"/>
    <cellStyle name="Percent 3 2 3 2 2 2 3 2 3" xfId="3810"/>
    <cellStyle name="Percent 3 2 3 2 2 2 3 3" xfId="2165"/>
    <cellStyle name="Percent 3 2 3 2 2 2 3 3 2" xfId="4358"/>
    <cellStyle name="Percent 3 2 3 2 2 2 3 4" xfId="3262"/>
    <cellStyle name="Percent 3 2 3 2 2 2 4" xfId="1343"/>
    <cellStyle name="Percent 3 2 3 2 2 2 4 2" xfId="2439"/>
    <cellStyle name="Percent 3 2 3 2 2 2 4 2 2" xfId="4632"/>
    <cellStyle name="Percent 3 2 3 2 2 2 4 3" xfId="3536"/>
    <cellStyle name="Percent 3 2 3 2 2 2 5" xfId="1891"/>
    <cellStyle name="Percent 3 2 3 2 2 2 5 2" xfId="4084"/>
    <cellStyle name="Percent 3 2 3 2 2 2 6" xfId="2988"/>
    <cellStyle name="Percent 3 2 3 2 2 3" xfId="859"/>
    <cellStyle name="Percent 3 2 3 2 2 3 2" xfId="1134"/>
    <cellStyle name="Percent 3 2 3 2 2 3 2 2" xfId="1686"/>
    <cellStyle name="Percent 3 2 3 2 2 3 2 2 2" xfId="2782"/>
    <cellStyle name="Percent 3 2 3 2 2 3 2 2 2 2" xfId="4975"/>
    <cellStyle name="Percent 3 2 3 2 2 3 2 2 3" xfId="3879"/>
    <cellStyle name="Percent 3 2 3 2 2 3 2 3" xfId="2234"/>
    <cellStyle name="Percent 3 2 3 2 2 3 2 3 2" xfId="4427"/>
    <cellStyle name="Percent 3 2 3 2 2 3 2 4" xfId="3331"/>
    <cellStyle name="Percent 3 2 3 2 2 3 3" xfId="1412"/>
    <cellStyle name="Percent 3 2 3 2 2 3 3 2" xfId="2508"/>
    <cellStyle name="Percent 3 2 3 2 2 3 3 2 2" xfId="4701"/>
    <cellStyle name="Percent 3 2 3 2 2 3 3 3" xfId="3605"/>
    <cellStyle name="Percent 3 2 3 2 2 3 4" xfId="1960"/>
    <cellStyle name="Percent 3 2 3 2 2 3 4 2" xfId="4153"/>
    <cellStyle name="Percent 3 2 3 2 2 3 5" xfId="3057"/>
    <cellStyle name="Percent 3 2 3 2 2 4" xfId="997"/>
    <cellStyle name="Percent 3 2 3 2 2 4 2" xfId="1549"/>
    <cellStyle name="Percent 3 2 3 2 2 4 2 2" xfId="2645"/>
    <cellStyle name="Percent 3 2 3 2 2 4 2 2 2" xfId="4838"/>
    <cellStyle name="Percent 3 2 3 2 2 4 2 3" xfId="3742"/>
    <cellStyle name="Percent 3 2 3 2 2 4 3" xfId="2097"/>
    <cellStyle name="Percent 3 2 3 2 2 4 3 2" xfId="4290"/>
    <cellStyle name="Percent 3 2 3 2 2 4 4" xfId="3194"/>
    <cellStyle name="Percent 3 2 3 2 2 5" xfId="1275"/>
    <cellStyle name="Percent 3 2 3 2 2 5 2" xfId="2371"/>
    <cellStyle name="Percent 3 2 3 2 2 5 2 2" xfId="4564"/>
    <cellStyle name="Percent 3 2 3 2 2 5 3" xfId="3468"/>
    <cellStyle name="Percent 3 2 3 2 2 6" xfId="1823"/>
    <cellStyle name="Percent 3 2 3 2 2 6 2" xfId="4016"/>
    <cellStyle name="Percent 3 2 3 2 2 7" xfId="2920"/>
    <cellStyle name="Percent 3 2 3 2 3" xfId="758"/>
    <cellStyle name="Percent 3 2 3 2 3 2" xfId="895"/>
    <cellStyle name="Percent 3 2 3 2 3 2 2" xfId="1170"/>
    <cellStyle name="Percent 3 2 3 2 3 2 2 2" xfId="1722"/>
    <cellStyle name="Percent 3 2 3 2 3 2 2 2 2" xfId="2818"/>
    <cellStyle name="Percent 3 2 3 2 3 2 2 2 2 2" xfId="5011"/>
    <cellStyle name="Percent 3 2 3 2 3 2 2 2 3" xfId="3915"/>
    <cellStyle name="Percent 3 2 3 2 3 2 2 3" xfId="2270"/>
    <cellStyle name="Percent 3 2 3 2 3 2 2 3 2" xfId="4463"/>
    <cellStyle name="Percent 3 2 3 2 3 2 2 4" xfId="3367"/>
    <cellStyle name="Percent 3 2 3 2 3 2 3" xfId="1448"/>
    <cellStyle name="Percent 3 2 3 2 3 2 3 2" xfId="2544"/>
    <cellStyle name="Percent 3 2 3 2 3 2 3 2 2" xfId="4737"/>
    <cellStyle name="Percent 3 2 3 2 3 2 3 3" xfId="3641"/>
    <cellStyle name="Percent 3 2 3 2 3 2 4" xfId="1996"/>
    <cellStyle name="Percent 3 2 3 2 3 2 4 2" xfId="4189"/>
    <cellStyle name="Percent 3 2 3 2 3 2 5" xfId="3093"/>
    <cellStyle name="Percent 3 2 3 2 3 3" xfId="1033"/>
    <cellStyle name="Percent 3 2 3 2 3 3 2" xfId="1585"/>
    <cellStyle name="Percent 3 2 3 2 3 3 2 2" xfId="2681"/>
    <cellStyle name="Percent 3 2 3 2 3 3 2 2 2" xfId="4874"/>
    <cellStyle name="Percent 3 2 3 2 3 3 2 3" xfId="3778"/>
    <cellStyle name="Percent 3 2 3 2 3 3 3" xfId="2133"/>
    <cellStyle name="Percent 3 2 3 2 3 3 3 2" xfId="4326"/>
    <cellStyle name="Percent 3 2 3 2 3 3 4" xfId="3230"/>
    <cellStyle name="Percent 3 2 3 2 3 4" xfId="1311"/>
    <cellStyle name="Percent 3 2 3 2 3 4 2" xfId="2407"/>
    <cellStyle name="Percent 3 2 3 2 3 4 2 2" xfId="4600"/>
    <cellStyle name="Percent 3 2 3 2 3 4 3" xfId="3504"/>
    <cellStyle name="Percent 3 2 3 2 3 5" xfId="1859"/>
    <cellStyle name="Percent 3 2 3 2 3 5 2" xfId="4052"/>
    <cellStyle name="Percent 3 2 3 2 3 6" xfId="2956"/>
    <cellStyle name="Percent 3 2 3 2 4" xfId="827"/>
    <cellStyle name="Percent 3 2 3 2 4 2" xfId="1102"/>
    <cellStyle name="Percent 3 2 3 2 4 2 2" xfId="1654"/>
    <cellStyle name="Percent 3 2 3 2 4 2 2 2" xfId="2750"/>
    <cellStyle name="Percent 3 2 3 2 4 2 2 2 2" xfId="4943"/>
    <cellStyle name="Percent 3 2 3 2 4 2 2 3" xfId="3847"/>
    <cellStyle name="Percent 3 2 3 2 4 2 3" xfId="2202"/>
    <cellStyle name="Percent 3 2 3 2 4 2 3 2" xfId="4395"/>
    <cellStyle name="Percent 3 2 3 2 4 2 4" xfId="3299"/>
    <cellStyle name="Percent 3 2 3 2 4 3" xfId="1380"/>
    <cellStyle name="Percent 3 2 3 2 4 3 2" xfId="2476"/>
    <cellStyle name="Percent 3 2 3 2 4 3 2 2" xfId="4669"/>
    <cellStyle name="Percent 3 2 3 2 4 3 3" xfId="3573"/>
    <cellStyle name="Percent 3 2 3 2 4 4" xfId="1928"/>
    <cellStyle name="Percent 3 2 3 2 4 4 2" xfId="4121"/>
    <cellStyle name="Percent 3 2 3 2 4 5" xfId="3025"/>
    <cellStyle name="Percent 3 2 3 2 5" xfId="965"/>
    <cellStyle name="Percent 3 2 3 2 5 2" xfId="1517"/>
    <cellStyle name="Percent 3 2 3 2 5 2 2" xfId="2613"/>
    <cellStyle name="Percent 3 2 3 2 5 2 2 2" xfId="4806"/>
    <cellStyle name="Percent 3 2 3 2 5 2 3" xfId="3710"/>
    <cellStyle name="Percent 3 2 3 2 5 3" xfId="2065"/>
    <cellStyle name="Percent 3 2 3 2 5 3 2" xfId="4258"/>
    <cellStyle name="Percent 3 2 3 2 5 4" xfId="3162"/>
    <cellStyle name="Percent 3 2 3 2 6" xfId="1243"/>
    <cellStyle name="Percent 3 2 3 2 6 2" xfId="2339"/>
    <cellStyle name="Percent 3 2 3 2 6 2 2" xfId="4532"/>
    <cellStyle name="Percent 3 2 3 2 6 3" xfId="3436"/>
    <cellStyle name="Percent 3 2 3 2 7" xfId="1791"/>
    <cellStyle name="Percent 3 2 3 2 7 2" xfId="3984"/>
    <cellStyle name="Percent 3 2 3 2 8" xfId="2888"/>
    <cellStyle name="Percent 3 2 3 3" xfId="704"/>
    <cellStyle name="Percent 3 2 3 3 2" xfId="774"/>
    <cellStyle name="Percent 3 2 3 3 2 2" xfId="911"/>
    <cellStyle name="Percent 3 2 3 3 2 2 2" xfId="1186"/>
    <cellStyle name="Percent 3 2 3 3 2 2 2 2" xfId="1738"/>
    <cellStyle name="Percent 3 2 3 3 2 2 2 2 2" xfId="2834"/>
    <cellStyle name="Percent 3 2 3 3 2 2 2 2 2 2" xfId="5027"/>
    <cellStyle name="Percent 3 2 3 3 2 2 2 2 3" xfId="3931"/>
    <cellStyle name="Percent 3 2 3 3 2 2 2 3" xfId="2286"/>
    <cellStyle name="Percent 3 2 3 3 2 2 2 3 2" xfId="4479"/>
    <cellStyle name="Percent 3 2 3 3 2 2 2 4" xfId="3383"/>
    <cellStyle name="Percent 3 2 3 3 2 2 3" xfId="1464"/>
    <cellStyle name="Percent 3 2 3 3 2 2 3 2" xfId="2560"/>
    <cellStyle name="Percent 3 2 3 3 2 2 3 2 2" xfId="4753"/>
    <cellStyle name="Percent 3 2 3 3 2 2 3 3" xfId="3657"/>
    <cellStyle name="Percent 3 2 3 3 2 2 4" xfId="2012"/>
    <cellStyle name="Percent 3 2 3 3 2 2 4 2" xfId="4205"/>
    <cellStyle name="Percent 3 2 3 3 2 2 5" xfId="3109"/>
    <cellStyle name="Percent 3 2 3 3 2 3" xfId="1049"/>
    <cellStyle name="Percent 3 2 3 3 2 3 2" xfId="1601"/>
    <cellStyle name="Percent 3 2 3 3 2 3 2 2" xfId="2697"/>
    <cellStyle name="Percent 3 2 3 3 2 3 2 2 2" xfId="4890"/>
    <cellStyle name="Percent 3 2 3 3 2 3 2 3" xfId="3794"/>
    <cellStyle name="Percent 3 2 3 3 2 3 3" xfId="2149"/>
    <cellStyle name="Percent 3 2 3 3 2 3 3 2" xfId="4342"/>
    <cellStyle name="Percent 3 2 3 3 2 3 4" xfId="3246"/>
    <cellStyle name="Percent 3 2 3 3 2 4" xfId="1327"/>
    <cellStyle name="Percent 3 2 3 3 2 4 2" xfId="2423"/>
    <cellStyle name="Percent 3 2 3 3 2 4 2 2" xfId="4616"/>
    <cellStyle name="Percent 3 2 3 3 2 4 3" xfId="3520"/>
    <cellStyle name="Percent 3 2 3 3 2 5" xfId="1875"/>
    <cellStyle name="Percent 3 2 3 3 2 5 2" xfId="4068"/>
    <cellStyle name="Percent 3 2 3 3 2 6" xfId="2972"/>
    <cellStyle name="Percent 3 2 3 3 3" xfId="843"/>
    <cellStyle name="Percent 3 2 3 3 3 2" xfId="1118"/>
    <cellStyle name="Percent 3 2 3 3 3 2 2" xfId="1670"/>
    <cellStyle name="Percent 3 2 3 3 3 2 2 2" xfId="2766"/>
    <cellStyle name="Percent 3 2 3 3 3 2 2 2 2" xfId="4959"/>
    <cellStyle name="Percent 3 2 3 3 3 2 2 3" xfId="3863"/>
    <cellStyle name="Percent 3 2 3 3 3 2 3" xfId="2218"/>
    <cellStyle name="Percent 3 2 3 3 3 2 3 2" xfId="4411"/>
    <cellStyle name="Percent 3 2 3 3 3 2 4" xfId="3315"/>
    <cellStyle name="Percent 3 2 3 3 3 3" xfId="1396"/>
    <cellStyle name="Percent 3 2 3 3 3 3 2" xfId="2492"/>
    <cellStyle name="Percent 3 2 3 3 3 3 2 2" xfId="4685"/>
    <cellStyle name="Percent 3 2 3 3 3 3 3" xfId="3589"/>
    <cellStyle name="Percent 3 2 3 3 3 4" xfId="1944"/>
    <cellStyle name="Percent 3 2 3 3 3 4 2" xfId="4137"/>
    <cellStyle name="Percent 3 2 3 3 3 5" xfId="3041"/>
    <cellStyle name="Percent 3 2 3 3 4" xfId="981"/>
    <cellStyle name="Percent 3 2 3 3 4 2" xfId="1533"/>
    <cellStyle name="Percent 3 2 3 3 4 2 2" xfId="2629"/>
    <cellStyle name="Percent 3 2 3 3 4 2 2 2" xfId="4822"/>
    <cellStyle name="Percent 3 2 3 3 4 2 3" xfId="3726"/>
    <cellStyle name="Percent 3 2 3 3 4 3" xfId="2081"/>
    <cellStyle name="Percent 3 2 3 3 4 3 2" xfId="4274"/>
    <cellStyle name="Percent 3 2 3 3 4 4" xfId="3178"/>
    <cellStyle name="Percent 3 2 3 3 5" xfId="1259"/>
    <cellStyle name="Percent 3 2 3 3 5 2" xfId="2355"/>
    <cellStyle name="Percent 3 2 3 3 5 2 2" xfId="4548"/>
    <cellStyle name="Percent 3 2 3 3 5 3" xfId="3452"/>
    <cellStyle name="Percent 3 2 3 3 6" xfId="1807"/>
    <cellStyle name="Percent 3 2 3 3 6 2" xfId="4000"/>
    <cellStyle name="Percent 3 2 3 3 7" xfId="2904"/>
    <cellStyle name="Percent 3 2 3 4" xfId="742"/>
    <cellStyle name="Percent 3 2 3 4 2" xfId="879"/>
    <cellStyle name="Percent 3 2 3 4 2 2" xfId="1154"/>
    <cellStyle name="Percent 3 2 3 4 2 2 2" xfId="1706"/>
    <cellStyle name="Percent 3 2 3 4 2 2 2 2" xfId="2802"/>
    <cellStyle name="Percent 3 2 3 4 2 2 2 2 2" xfId="4995"/>
    <cellStyle name="Percent 3 2 3 4 2 2 2 3" xfId="3899"/>
    <cellStyle name="Percent 3 2 3 4 2 2 3" xfId="2254"/>
    <cellStyle name="Percent 3 2 3 4 2 2 3 2" xfId="4447"/>
    <cellStyle name="Percent 3 2 3 4 2 2 4" xfId="3351"/>
    <cellStyle name="Percent 3 2 3 4 2 3" xfId="1432"/>
    <cellStyle name="Percent 3 2 3 4 2 3 2" xfId="2528"/>
    <cellStyle name="Percent 3 2 3 4 2 3 2 2" xfId="4721"/>
    <cellStyle name="Percent 3 2 3 4 2 3 3" xfId="3625"/>
    <cellStyle name="Percent 3 2 3 4 2 4" xfId="1980"/>
    <cellStyle name="Percent 3 2 3 4 2 4 2" xfId="4173"/>
    <cellStyle name="Percent 3 2 3 4 2 5" xfId="3077"/>
    <cellStyle name="Percent 3 2 3 4 3" xfId="1017"/>
    <cellStyle name="Percent 3 2 3 4 3 2" xfId="1569"/>
    <cellStyle name="Percent 3 2 3 4 3 2 2" xfId="2665"/>
    <cellStyle name="Percent 3 2 3 4 3 2 2 2" xfId="4858"/>
    <cellStyle name="Percent 3 2 3 4 3 2 3" xfId="3762"/>
    <cellStyle name="Percent 3 2 3 4 3 3" xfId="2117"/>
    <cellStyle name="Percent 3 2 3 4 3 3 2" xfId="4310"/>
    <cellStyle name="Percent 3 2 3 4 3 4" xfId="3214"/>
    <cellStyle name="Percent 3 2 3 4 4" xfId="1295"/>
    <cellStyle name="Percent 3 2 3 4 4 2" xfId="2391"/>
    <cellStyle name="Percent 3 2 3 4 4 2 2" xfId="4584"/>
    <cellStyle name="Percent 3 2 3 4 4 3" xfId="3488"/>
    <cellStyle name="Percent 3 2 3 4 5" xfId="1843"/>
    <cellStyle name="Percent 3 2 3 4 5 2" xfId="4036"/>
    <cellStyle name="Percent 3 2 3 4 6" xfId="2940"/>
    <cellStyle name="Percent 3 2 3 5" xfId="811"/>
    <cellStyle name="Percent 3 2 3 5 2" xfId="1086"/>
    <cellStyle name="Percent 3 2 3 5 2 2" xfId="1638"/>
    <cellStyle name="Percent 3 2 3 5 2 2 2" xfId="2734"/>
    <cellStyle name="Percent 3 2 3 5 2 2 2 2" xfId="4927"/>
    <cellStyle name="Percent 3 2 3 5 2 2 3" xfId="3831"/>
    <cellStyle name="Percent 3 2 3 5 2 3" xfId="2186"/>
    <cellStyle name="Percent 3 2 3 5 2 3 2" xfId="4379"/>
    <cellStyle name="Percent 3 2 3 5 2 4" xfId="3283"/>
    <cellStyle name="Percent 3 2 3 5 3" xfId="1364"/>
    <cellStyle name="Percent 3 2 3 5 3 2" xfId="2460"/>
    <cellStyle name="Percent 3 2 3 5 3 2 2" xfId="4653"/>
    <cellStyle name="Percent 3 2 3 5 3 3" xfId="3557"/>
    <cellStyle name="Percent 3 2 3 5 4" xfId="1912"/>
    <cellStyle name="Percent 3 2 3 5 4 2" xfId="4105"/>
    <cellStyle name="Percent 3 2 3 5 5" xfId="3009"/>
    <cellStyle name="Percent 3 2 3 6" xfId="949"/>
    <cellStyle name="Percent 3 2 3 6 2" xfId="1501"/>
    <cellStyle name="Percent 3 2 3 6 2 2" xfId="2597"/>
    <cellStyle name="Percent 3 2 3 6 2 2 2" xfId="4790"/>
    <cellStyle name="Percent 3 2 3 6 2 3" xfId="3694"/>
    <cellStyle name="Percent 3 2 3 6 3" xfId="2049"/>
    <cellStyle name="Percent 3 2 3 6 3 2" xfId="4242"/>
    <cellStyle name="Percent 3 2 3 6 4" xfId="3146"/>
    <cellStyle name="Percent 3 2 3 7" xfId="1227"/>
    <cellStyle name="Percent 3 2 3 7 2" xfId="2323"/>
    <cellStyle name="Percent 3 2 3 7 2 2" xfId="4516"/>
    <cellStyle name="Percent 3 2 3 7 3" xfId="3420"/>
    <cellStyle name="Percent 3 2 3 8" xfId="1775"/>
    <cellStyle name="Percent 3 2 3 8 2" xfId="3968"/>
    <cellStyle name="Percent 3 2 3 9" xfId="2872"/>
    <cellStyle name="Percent 3 2 4" xfId="676"/>
    <cellStyle name="Percent 3 2 4 2" xfId="712"/>
    <cellStyle name="Percent 3 2 4 2 2" xfId="782"/>
    <cellStyle name="Percent 3 2 4 2 2 2" xfId="919"/>
    <cellStyle name="Percent 3 2 4 2 2 2 2" xfId="1194"/>
    <cellStyle name="Percent 3 2 4 2 2 2 2 2" xfId="1746"/>
    <cellStyle name="Percent 3 2 4 2 2 2 2 2 2" xfId="2842"/>
    <cellStyle name="Percent 3 2 4 2 2 2 2 2 2 2" xfId="5035"/>
    <cellStyle name="Percent 3 2 4 2 2 2 2 2 3" xfId="3939"/>
    <cellStyle name="Percent 3 2 4 2 2 2 2 3" xfId="2294"/>
    <cellStyle name="Percent 3 2 4 2 2 2 2 3 2" xfId="4487"/>
    <cellStyle name="Percent 3 2 4 2 2 2 2 4" xfId="3391"/>
    <cellStyle name="Percent 3 2 4 2 2 2 3" xfId="1472"/>
    <cellStyle name="Percent 3 2 4 2 2 2 3 2" xfId="2568"/>
    <cellStyle name="Percent 3 2 4 2 2 2 3 2 2" xfId="4761"/>
    <cellStyle name="Percent 3 2 4 2 2 2 3 3" xfId="3665"/>
    <cellStyle name="Percent 3 2 4 2 2 2 4" xfId="2020"/>
    <cellStyle name="Percent 3 2 4 2 2 2 4 2" xfId="4213"/>
    <cellStyle name="Percent 3 2 4 2 2 2 5" xfId="3117"/>
    <cellStyle name="Percent 3 2 4 2 2 3" xfId="1057"/>
    <cellStyle name="Percent 3 2 4 2 2 3 2" xfId="1609"/>
    <cellStyle name="Percent 3 2 4 2 2 3 2 2" xfId="2705"/>
    <cellStyle name="Percent 3 2 4 2 2 3 2 2 2" xfId="4898"/>
    <cellStyle name="Percent 3 2 4 2 2 3 2 3" xfId="3802"/>
    <cellStyle name="Percent 3 2 4 2 2 3 3" xfId="2157"/>
    <cellStyle name="Percent 3 2 4 2 2 3 3 2" xfId="4350"/>
    <cellStyle name="Percent 3 2 4 2 2 3 4" xfId="3254"/>
    <cellStyle name="Percent 3 2 4 2 2 4" xfId="1335"/>
    <cellStyle name="Percent 3 2 4 2 2 4 2" xfId="2431"/>
    <cellStyle name="Percent 3 2 4 2 2 4 2 2" xfId="4624"/>
    <cellStyle name="Percent 3 2 4 2 2 4 3" xfId="3528"/>
    <cellStyle name="Percent 3 2 4 2 2 5" xfId="1883"/>
    <cellStyle name="Percent 3 2 4 2 2 5 2" xfId="4076"/>
    <cellStyle name="Percent 3 2 4 2 2 6" xfId="2980"/>
    <cellStyle name="Percent 3 2 4 2 3" xfId="851"/>
    <cellStyle name="Percent 3 2 4 2 3 2" xfId="1126"/>
    <cellStyle name="Percent 3 2 4 2 3 2 2" xfId="1678"/>
    <cellStyle name="Percent 3 2 4 2 3 2 2 2" xfId="2774"/>
    <cellStyle name="Percent 3 2 4 2 3 2 2 2 2" xfId="4967"/>
    <cellStyle name="Percent 3 2 4 2 3 2 2 3" xfId="3871"/>
    <cellStyle name="Percent 3 2 4 2 3 2 3" xfId="2226"/>
    <cellStyle name="Percent 3 2 4 2 3 2 3 2" xfId="4419"/>
    <cellStyle name="Percent 3 2 4 2 3 2 4" xfId="3323"/>
    <cellStyle name="Percent 3 2 4 2 3 3" xfId="1404"/>
    <cellStyle name="Percent 3 2 4 2 3 3 2" xfId="2500"/>
    <cellStyle name="Percent 3 2 4 2 3 3 2 2" xfId="4693"/>
    <cellStyle name="Percent 3 2 4 2 3 3 3" xfId="3597"/>
    <cellStyle name="Percent 3 2 4 2 3 4" xfId="1952"/>
    <cellStyle name="Percent 3 2 4 2 3 4 2" xfId="4145"/>
    <cellStyle name="Percent 3 2 4 2 3 5" xfId="3049"/>
    <cellStyle name="Percent 3 2 4 2 4" xfId="989"/>
    <cellStyle name="Percent 3 2 4 2 4 2" xfId="1541"/>
    <cellStyle name="Percent 3 2 4 2 4 2 2" xfId="2637"/>
    <cellStyle name="Percent 3 2 4 2 4 2 2 2" xfId="4830"/>
    <cellStyle name="Percent 3 2 4 2 4 2 3" xfId="3734"/>
    <cellStyle name="Percent 3 2 4 2 4 3" xfId="2089"/>
    <cellStyle name="Percent 3 2 4 2 4 3 2" xfId="4282"/>
    <cellStyle name="Percent 3 2 4 2 4 4" xfId="3186"/>
    <cellStyle name="Percent 3 2 4 2 5" xfId="1267"/>
    <cellStyle name="Percent 3 2 4 2 5 2" xfId="2363"/>
    <cellStyle name="Percent 3 2 4 2 5 2 2" xfId="4556"/>
    <cellStyle name="Percent 3 2 4 2 5 3" xfId="3460"/>
    <cellStyle name="Percent 3 2 4 2 6" xfId="1815"/>
    <cellStyle name="Percent 3 2 4 2 6 2" xfId="4008"/>
    <cellStyle name="Percent 3 2 4 2 7" xfId="2912"/>
    <cellStyle name="Percent 3 2 4 3" xfId="750"/>
    <cellStyle name="Percent 3 2 4 3 2" xfId="887"/>
    <cellStyle name="Percent 3 2 4 3 2 2" xfId="1162"/>
    <cellStyle name="Percent 3 2 4 3 2 2 2" xfId="1714"/>
    <cellStyle name="Percent 3 2 4 3 2 2 2 2" xfId="2810"/>
    <cellStyle name="Percent 3 2 4 3 2 2 2 2 2" xfId="5003"/>
    <cellStyle name="Percent 3 2 4 3 2 2 2 3" xfId="3907"/>
    <cellStyle name="Percent 3 2 4 3 2 2 3" xfId="2262"/>
    <cellStyle name="Percent 3 2 4 3 2 2 3 2" xfId="4455"/>
    <cellStyle name="Percent 3 2 4 3 2 2 4" xfId="3359"/>
    <cellStyle name="Percent 3 2 4 3 2 3" xfId="1440"/>
    <cellStyle name="Percent 3 2 4 3 2 3 2" xfId="2536"/>
    <cellStyle name="Percent 3 2 4 3 2 3 2 2" xfId="4729"/>
    <cellStyle name="Percent 3 2 4 3 2 3 3" xfId="3633"/>
    <cellStyle name="Percent 3 2 4 3 2 4" xfId="1988"/>
    <cellStyle name="Percent 3 2 4 3 2 4 2" xfId="4181"/>
    <cellStyle name="Percent 3 2 4 3 2 5" xfId="3085"/>
    <cellStyle name="Percent 3 2 4 3 3" xfId="1025"/>
    <cellStyle name="Percent 3 2 4 3 3 2" xfId="1577"/>
    <cellStyle name="Percent 3 2 4 3 3 2 2" xfId="2673"/>
    <cellStyle name="Percent 3 2 4 3 3 2 2 2" xfId="4866"/>
    <cellStyle name="Percent 3 2 4 3 3 2 3" xfId="3770"/>
    <cellStyle name="Percent 3 2 4 3 3 3" xfId="2125"/>
    <cellStyle name="Percent 3 2 4 3 3 3 2" xfId="4318"/>
    <cellStyle name="Percent 3 2 4 3 3 4" xfId="3222"/>
    <cellStyle name="Percent 3 2 4 3 4" xfId="1303"/>
    <cellStyle name="Percent 3 2 4 3 4 2" xfId="2399"/>
    <cellStyle name="Percent 3 2 4 3 4 2 2" xfId="4592"/>
    <cellStyle name="Percent 3 2 4 3 4 3" xfId="3496"/>
    <cellStyle name="Percent 3 2 4 3 5" xfId="1851"/>
    <cellStyle name="Percent 3 2 4 3 5 2" xfId="4044"/>
    <cellStyle name="Percent 3 2 4 3 6" xfId="2948"/>
    <cellStyle name="Percent 3 2 4 4" xfId="819"/>
    <cellStyle name="Percent 3 2 4 4 2" xfId="1094"/>
    <cellStyle name="Percent 3 2 4 4 2 2" xfId="1646"/>
    <cellStyle name="Percent 3 2 4 4 2 2 2" xfId="2742"/>
    <cellStyle name="Percent 3 2 4 4 2 2 2 2" xfId="4935"/>
    <cellStyle name="Percent 3 2 4 4 2 2 3" xfId="3839"/>
    <cellStyle name="Percent 3 2 4 4 2 3" xfId="2194"/>
    <cellStyle name="Percent 3 2 4 4 2 3 2" xfId="4387"/>
    <cellStyle name="Percent 3 2 4 4 2 4" xfId="3291"/>
    <cellStyle name="Percent 3 2 4 4 3" xfId="1372"/>
    <cellStyle name="Percent 3 2 4 4 3 2" xfId="2468"/>
    <cellStyle name="Percent 3 2 4 4 3 2 2" xfId="4661"/>
    <cellStyle name="Percent 3 2 4 4 3 3" xfId="3565"/>
    <cellStyle name="Percent 3 2 4 4 4" xfId="1920"/>
    <cellStyle name="Percent 3 2 4 4 4 2" xfId="4113"/>
    <cellStyle name="Percent 3 2 4 4 5" xfId="3017"/>
    <cellStyle name="Percent 3 2 4 5" xfId="957"/>
    <cellStyle name="Percent 3 2 4 5 2" xfId="1509"/>
    <cellStyle name="Percent 3 2 4 5 2 2" xfId="2605"/>
    <cellStyle name="Percent 3 2 4 5 2 2 2" xfId="4798"/>
    <cellStyle name="Percent 3 2 4 5 2 3" xfId="3702"/>
    <cellStyle name="Percent 3 2 4 5 3" xfId="2057"/>
    <cellStyle name="Percent 3 2 4 5 3 2" xfId="4250"/>
    <cellStyle name="Percent 3 2 4 5 4" xfId="3154"/>
    <cellStyle name="Percent 3 2 4 6" xfId="1235"/>
    <cellStyle name="Percent 3 2 4 6 2" xfId="2331"/>
    <cellStyle name="Percent 3 2 4 6 2 2" xfId="4524"/>
    <cellStyle name="Percent 3 2 4 6 3" xfId="3428"/>
    <cellStyle name="Percent 3 2 4 7" xfId="1783"/>
    <cellStyle name="Percent 3 2 4 7 2" xfId="3976"/>
    <cellStyle name="Percent 3 2 4 8" xfId="2880"/>
    <cellStyle name="Percent 3 2 5" xfId="696"/>
    <cellStyle name="Percent 3 2 5 2" xfId="766"/>
    <cellStyle name="Percent 3 2 5 2 2" xfId="903"/>
    <cellStyle name="Percent 3 2 5 2 2 2" xfId="1178"/>
    <cellStyle name="Percent 3 2 5 2 2 2 2" xfId="1730"/>
    <cellStyle name="Percent 3 2 5 2 2 2 2 2" xfId="2826"/>
    <cellStyle name="Percent 3 2 5 2 2 2 2 2 2" xfId="5019"/>
    <cellStyle name="Percent 3 2 5 2 2 2 2 3" xfId="3923"/>
    <cellStyle name="Percent 3 2 5 2 2 2 3" xfId="2278"/>
    <cellStyle name="Percent 3 2 5 2 2 2 3 2" xfId="4471"/>
    <cellStyle name="Percent 3 2 5 2 2 2 4" xfId="3375"/>
    <cellStyle name="Percent 3 2 5 2 2 3" xfId="1456"/>
    <cellStyle name="Percent 3 2 5 2 2 3 2" xfId="2552"/>
    <cellStyle name="Percent 3 2 5 2 2 3 2 2" xfId="4745"/>
    <cellStyle name="Percent 3 2 5 2 2 3 3" xfId="3649"/>
    <cellStyle name="Percent 3 2 5 2 2 4" xfId="2004"/>
    <cellStyle name="Percent 3 2 5 2 2 4 2" xfId="4197"/>
    <cellStyle name="Percent 3 2 5 2 2 5" xfId="3101"/>
    <cellStyle name="Percent 3 2 5 2 3" xfId="1041"/>
    <cellStyle name="Percent 3 2 5 2 3 2" xfId="1593"/>
    <cellStyle name="Percent 3 2 5 2 3 2 2" xfId="2689"/>
    <cellStyle name="Percent 3 2 5 2 3 2 2 2" xfId="4882"/>
    <cellStyle name="Percent 3 2 5 2 3 2 3" xfId="3786"/>
    <cellStyle name="Percent 3 2 5 2 3 3" xfId="2141"/>
    <cellStyle name="Percent 3 2 5 2 3 3 2" xfId="4334"/>
    <cellStyle name="Percent 3 2 5 2 3 4" xfId="3238"/>
    <cellStyle name="Percent 3 2 5 2 4" xfId="1319"/>
    <cellStyle name="Percent 3 2 5 2 4 2" xfId="2415"/>
    <cellStyle name="Percent 3 2 5 2 4 2 2" xfId="4608"/>
    <cellStyle name="Percent 3 2 5 2 4 3" xfId="3512"/>
    <cellStyle name="Percent 3 2 5 2 5" xfId="1867"/>
    <cellStyle name="Percent 3 2 5 2 5 2" xfId="4060"/>
    <cellStyle name="Percent 3 2 5 2 6" xfId="2964"/>
    <cellStyle name="Percent 3 2 5 3" xfId="835"/>
    <cellStyle name="Percent 3 2 5 3 2" xfId="1110"/>
    <cellStyle name="Percent 3 2 5 3 2 2" xfId="1662"/>
    <cellStyle name="Percent 3 2 5 3 2 2 2" xfId="2758"/>
    <cellStyle name="Percent 3 2 5 3 2 2 2 2" xfId="4951"/>
    <cellStyle name="Percent 3 2 5 3 2 2 3" xfId="3855"/>
    <cellStyle name="Percent 3 2 5 3 2 3" xfId="2210"/>
    <cellStyle name="Percent 3 2 5 3 2 3 2" xfId="4403"/>
    <cellStyle name="Percent 3 2 5 3 2 4" xfId="3307"/>
    <cellStyle name="Percent 3 2 5 3 3" xfId="1388"/>
    <cellStyle name="Percent 3 2 5 3 3 2" xfId="2484"/>
    <cellStyle name="Percent 3 2 5 3 3 2 2" xfId="4677"/>
    <cellStyle name="Percent 3 2 5 3 3 3" xfId="3581"/>
    <cellStyle name="Percent 3 2 5 3 4" xfId="1936"/>
    <cellStyle name="Percent 3 2 5 3 4 2" xfId="4129"/>
    <cellStyle name="Percent 3 2 5 3 5" xfId="3033"/>
    <cellStyle name="Percent 3 2 5 4" xfId="973"/>
    <cellStyle name="Percent 3 2 5 4 2" xfId="1525"/>
    <cellStyle name="Percent 3 2 5 4 2 2" xfId="2621"/>
    <cellStyle name="Percent 3 2 5 4 2 2 2" xfId="4814"/>
    <cellStyle name="Percent 3 2 5 4 2 3" xfId="3718"/>
    <cellStyle name="Percent 3 2 5 4 3" xfId="2073"/>
    <cellStyle name="Percent 3 2 5 4 3 2" xfId="4266"/>
    <cellStyle name="Percent 3 2 5 4 4" xfId="3170"/>
    <cellStyle name="Percent 3 2 5 5" xfId="1251"/>
    <cellStyle name="Percent 3 2 5 5 2" xfId="2347"/>
    <cellStyle name="Percent 3 2 5 5 2 2" xfId="4540"/>
    <cellStyle name="Percent 3 2 5 5 3" xfId="3444"/>
    <cellStyle name="Percent 3 2 5 6" xfId="1799"/>
    <cellStyle name="Percent 3 2 5 6 2" xfId="3992"/>
    <cellStyle name="Percent 3 2 5 7" xfId="2896"/>
    <cellStyle name="Percent 3 2 6" xfId="734"/>
    <cellStyle name="Percent 3 2 6 2" xfId="871"/>
    <cellStyle name="Percent 3 2 6 2 2" xfId="1146"/>
    <cellStyle name="Percent 3 2 6 2 2 2" xfId="1698"/>
    <cellStyle name="Percent 3 2 6 2 2 2 2" xfId="2794"/>
    <cellStyle name="Percent 3 2 6 2 2 2 2 2" xfId="4987"/>
    <cellStyle name="Percent 3 2 6 2 2 2 3" xfId="3891"/>
    <cellStyle name="Percent 3 2 6 2 2 3" xfId="2246"/>
    <cellStyle name="Percent 3 2 6 2 2 3 2" xfId="4439"/>
    <cellStyle name="Percent 3 2 6 2 2 4" xfId="3343"/>
    <cellStyle name="Percent 3 2 6 2 3" xfId="1424"/>
    <cellStyle name="Percent 3 2 6 2 3 2" xfId="2520"/>
    <cellStyle name="Percent 3 2 6 2 3 2 2" xfId="4713"/>
    <cellStyle name="Percent 3 2 6 2 3 3" xfId="3617"/>
    <cellStyle name="Percent 3 2 6 2 4" xfId="1972"/>
    <cellStyle name="Percent 3 2 6 2 4 2" xfId="4165"/>
    <cellStyle name="Percent 3 2 6 2 5" xfId="3069"/>
    <cellStyle name="Percent 3 2 6 3" xfId="1009"/>
    <cellStyle name="Percent 3 2 6 3 2" xfId="1561"/>
    <cellStyle name="Percent 3 2 6 3 2 2" xfId="2657"/>
    <cellStyle name="Percent 3 2 6 3 2 2 2" xfId="4850"/>
    <cellStyle name="Percent 3 2 6 3 2 3" xfId="3754"/>
    <cellStyle name="Percent 3 2 6 3 3" xfId="2109"/>
    <cellStyle name="Percent 3 2 6 3 3 2" xfId="4302"/>
    <cellStyle name="Percent 3 2 6 3 4" xfId="3206"/>
    <cellStyle name="Percent 3 2 6 4" xfId="1287"/>
    <cellStyle name="Percent 3 2 6 4 2" xfId="2383"/>
    <cellStyle name="Percent 3 2 6 4 2 2" xfId="4576"/>
    <cellStyle name="Percent 3 2 6 4 3" xfId="3480"/>
    <cellStyle name="Percent 3 2 6 5" xfId="1835"/>
    <cellStyle name="Percent 3 2 6 5 2" xfId="4028"/>
    <cellStyle name="Percent 3 2 6 6" xfId="2932"/>
    <cellStyle name="Percent 3 2 7" xfId="802"/>
    <cellStyle name="Percent 3 2 7 2" xfId="1077"/>
    <cellStyle name="Percent 3 2 7 2 2" xfId="1629"/>
    <cellStyle name="Percent 3 2 7 2 2 2" xfId="2725"/>
    <cellStyle name="Percent 3 2 7 2 2 2 2" xfId="4918"/>
    <cellStyle name="Percent 3 2 7 2 2 3" xfId="3822"/>
    <cellStyle name="Percent 3 2 7 2 3" xfId="2177"/>
    <cellStyle name="Percent 3 2 7 2 3 2" xfId="4370"/>
    <cellStyle name="Percent 3 2 7 2 4" xfId="3274"/>
    <cellStyle name="Percent 3 2 7 3" xfId="1355"/>
    <cellStyle name="Percent 3 2 7 3 2" xfId="2451"/>
    <cellStyle name="Percent 3 2 7 3 2 2" xfId="4644"/>
    <cellStyle name="Percent 3 2 7 3 3" xfId="3548"/>
    <cellStyle name="Percent 3 2 7 4" xfId="1903"/>
    <cellStyle name="Percent 3 2 7 4 2" xfId="4096"/>
    <cellStyle name="Percent 3 2 7 5" xfId="3000"/>
    <cellStyle name="Percent 3 2 8" xfId="940"/>
    <cellStyle name="Percent 3 2 8 2" xfId="1492"/>
    <cellStyle name="Percent 3 2 8 2 2" xfId="2588"/>
    <cellStyle name="Percent 3 2 8 2 2 2" xfId="4781"/>
    <cellStyle name="Percent 3 2 8 2 3" xfId="3685"/>
    <cellStyle name="Percent 3 2 8 3" xfId="2040"/>
    <cellStyle name="Percent 3 2 8 3 2" xfId="4233"/>
    <cellStyle name="Percent 3 2 8 4" xfId="3137"/>
    <cellStyle name="Percent 3 2 9" xfId="1218"/>
    <cellStyle name="Percent 3 2 9 2" xfId="2314"/>
    <cellStyle name="Percent 3 2 9 2 2" xfId="4507"/>
    <cellStyle name="Percent 3 2 9 3" xfId="3411"/>
    <cellStyle name="Percent 3 3" xfId="447"/>
    <cellStyle name="Percent 3 3 10" xfId="2867"/>
    <cellStyle name="Percent 3 3 2" xfId="667"/>
    <cellStyle name="Percent 3 3 2 2" xfId="687"/>
    <cellStyle name="Percent 3 3 2 2 2" xfId="723"/>
    <cellStyle name="Percent 3 3 2 2 2 2" xfId="793"/>
    <cellStyle name="Percent 3 3 2 2 2 2 2" xfId="930"/>
    <cellStyle name="Percent 3 3 2 2 2 2 2 2" xfId="1205"/>
    <cellStyle name="Percent 3 3 2 2 2 2 2 2 2" xfId="1757"/>
    <cellStyle name="Percent 3 3 2 2 2 2 2 2 2 2" xfId="2853"/>
    <cellStyle name="Percent 3 3 2 2 2 2 2 2 2 2 2" xfId="5046"/>
    <cellStyle name="Percent 3 3 2 2 2 2 2 2 2 3" xfId="3950"/>
    <cellStyle name="Percent 3 3 2 2 2 2 2 2 3" xfId="2305"/>
    <cellStyle name="Percent 3 3 2 2 2 2 2 2 3 2" xfId="4498"/>
    <cellStyle name="Percent 3 3 2 2 2 2 2 2 4" xfId="3402"/>
    <cellStyle name="Percent 3 3 2 2 2 2 2 3" xfId="1483"/>
    <cellStyle name="Percent 3 3 2 2 2 2 2 3 2" xfId="2579"/>
    <cellStyle name="Percent 3 3 2 2 2 2 2 3 2 2" xfId="4772"/>
    <cellStyle name="Percent 3 3 2 2 2 2 2 3 3" xfId="3676"/>
    <cellStyle name="Percent 3 3 2 2 2 2 2 4" xfId="2031"/>
    <cellStyle name="Percent 3 3 2 2 2 2 2 4 2" xfId="4224"/>
    <cellStyle name="Percent 3 3 2 2 2 2 2 5" xfId="3128"/>
    <cellStyle name="Percent 3 3 2 2 2 2 3" xfId="1068"/>
    <cellStyle name="Percent 3 3 2 2 2 2 3 2" xfId="1620"/>
    <cellStyle name="Percent 3 3 2 2 2 2 3 2 2" xfId="2716"/>
    <cellStyle name="Percent 3 3 2 2 2 2 3 2 2 2" xfId="4909"/>
    <cellStyle name="Percent 3 3 2 2 2 2 3 2 3" xfId="3813"/>
    <cellStyle name="Percent 3 3 2 2 2 2 3 3" xfId="2168"/>
    <cellStyle name="Percent 3 3 2 2 2 2 3 3 2" xfId="4361"/>
    <cellStyle name="Percent 3 3 2 2 2 2 3 4" xfId="3265"/>
    <cellStyle name="Percent 3 3 2 2 2 2 4" xfId="1346"/>
    <cellStyle name="Percent 3 3 2 2 2 2 4 2" xfId="2442"/>
    <cellStyle name="Percent 3 3 2 2 2 2 4 2 2" xfId="4635"/>
    <cellStyle name="Percent 3 3 2 2 2 2 4 3" xfId="3539"/>
    <cellStyle name="Percent 3 3 2 2 2 2 5" xfId="1894"/>
    <cellStyle name="Percent 3 3 2 2 2 2 5 2" xfId="4087"/>
    <cellStyle name="Percent 3 3 2 2 2 2 6" xfId="2991"/>
    <cellStyle name="Percent 3 3 2 2 2 3" xfId="862"/>
    <cellStyle name="Percent 3 3 2 2 2 3 2" xfId="1137"/>
    <cellStyle name="Percent 3 3 2 2 2 3 2 2" xfId="1689"/>
    <cellStyle name="Percent 3 3 2 2 2 3 2 2 2" xfId="2785"/>
    <cellStyle name="Percent 3 3 2 2 2 3 2 2 2 2" xfId="4978"/>
    <cellStyle name="Percent 3 3 2 2 2 3 2 2 3" xfId="3882"/>
    <cellStyle name="Percent 3 3 2 2 2 3 2 3" xfId="2237"/>
    <cellStyle name="Percent 3 3 2 2 2 3 2 3 2" xfId="4430"/>
    <cellStyle name="Percent 3 3 2 2 2 3 2 4" xfId="3334"/>
    <cellStyle name="Percent 3 3 2 2 2 3 3" xfId="1415"/>
    <cellStyle name="Percent 3 3 2 2 2 3 3 2" xfId="2511"/>
    <cellStyle name="Percent 3 3 2 2 2 3 3 2 2" xfId="4704"/>
    <cellStyle name="Percent 3 3 2 2 2 3 3 3" xfId="3608"/>
    <cellStyle name="Percent 3 3 2 2 2 3 4" xfId="1963"/>
    <cellStyle name="Percent 3 3 2 2 2 3 4 2" xfId="4156"/>
    <cellStyle name="Percent 3 3 2 2 2 3 5" xfId="3060"/>
    <cellStyle name="Percent 3 3 2 2 2 4" xfId="1000"/>
    <cellStyle name="Percent 3 3 2 2 2 4 2" xfId="1552"/>
    <cellStyle name="Percent 3 3 2 2 2 4 2 2" xfId="2648"/>
    <cellStyle name="Percent 3 3 2 2 2 4 2 2 2" xfId="4841"/>
    <cellStyle name="Percent 3 3 2 2 2 4 2 3" xfId="3745"/>
    <cellStyle name="Percent 3 3 2 2 2 4 3" xfId="2100"/>
    <cellStyle name="Percent 3 3 2 2 2 4 3 2" xfId="4293"/>
    <cellStyle name="Percent 3 3 2 2 2 4 4" xfId="3197"/>
    <cellStyle name="Percent 3 3 2 2 2 5" xfId="1278"/>
    <cellStyle name="Percent 3 3 2 2 2 5 2" xfId="2374"/>
    <cellStyle name="Percent 3 3 2 2 2 5 2 2" xfId="4567"/>
    <cellStyle name="Percent 3 3 2 2 2 5 3" xfId="3471"/>
    <cellStyle name="Percent 3 3 2 2 2 6" xfId="1826"/>
    <cellStyle name="Percent 3 3 2 2 2 6 2" xfId="4019"/>
    <cellStyle name="Percent 3 3 2 2 2 7" xfId="2923"/>
    <cellStyle name="Percent 3 3 2 2 3" xfId="761"/>
    <cellStyle name="Percent 3 3 2 2 3 2" xfId="898"/>
    <cellStyle name="Percent 3 3 2 2 3 2 2" xfId="1173"/>
    <cellStyle name="Percent 3 3 2 2 3 2 2 2" xfId="1725"/>
    <cellStyle name="Percent 3 3 2 2 3 2 2 2 2" xfId="2821"/>
    <cellStyle name="Percent 3 3 2 2 3 2 2 2 2 2" xfId="5014"/>
    <cellStyle name="Percent 3 3 2 2 3 2 2 2 3" xfId="3918"/>
    <cellStyle name="Percent 3 3 2 2 3 2 2 3" xfId="2273"/>
    <cellStyle name="Percent 3 3 2 2 3 2 2 3 2" xfId="4466"/>
    <cellStyle name="Percent 3 3 2 2 3 2 2 4" xfId="3370"/>
    <cellStyle name="Percent 3 3 2 2 3 2 3" xfId="1451"/>
    <cellStyle name="Percent 3 3 2 2 3 2 3 2" xfId="2547"/>
    <cellStyle name="Percent 3 3 2 2 3 2 3 2 2" xfId="4740"/>
    <cellStyle name="Percent 3 3 2 2 3 2 3 3" xfId="3644"/>
    <cellStyle name="Percent 3 3 2 2 3 2 4" xfId="1999"/>
    <cellStyle name="Percent 3 3 2 2 3 2 4 2" xfId="4192"/>
    <cellStyle name="Percent 3 3 2 2 3 2 5" xfId="3096"/>
    <cellStyle name="Percent 3 3 2 2 3 3" xfId="1036"/>
    <cellStyle name="Percent 3 3 2 2 3 3 2" xfId="1588"/>
    <cellStyle name="Percent 3 3 2 2 3 3 2 2" xfId="2684"/>
    <cellStyle name="Percent 3 3 2 2 3 3 2 2 2" xfId="4877"/>
    <cellStyle name="Percent 3 3 2 2 3 3 2 3" xfId="3781"/>
    <cellStyle name="Percent 3 3 2 2 3 3 3" xfId="2136"/>
    <cellStyle name="Percent 3 3 2 2 3 3 3 2" xfId="4329"/>
    <cellStyle name="Percent 3 3 2 2 3 3 4" xfId="3233"/>
    <cellStyle name="Percent 3 3 2 2 3 4" xfId="1314"/>
    <cellStyle name="Percent 3 3 2 2 3 4 2" xfId="2410"/>
    <cellStyle name="Percent 3 3 2 2 3 4 2 2" xfId="4603"/>
    <cellStyle name="Percent 3 3 2 2 3 4 3" xfId="3507"/>
    <cellStyle name="Percent 3 3 2 2 3 5" xfId="1862"/>
    <cellStyle name="Percent 3 3 2 2 3 5 2" xfId="4055"/>
    <cellStyle name="Percent 3 3 2 2 3 6" xfId="2959"/>
    <cellStyle name="Percent 3 3 2 2 4" xfId="830"/>
    <cellStyle name="Percent 3 3 2 2 4 2" xfId="1105"/>
    <cellStyle name="Percent 3 3 2 2 4 2 2" xfId="1657"/>
    <cellStyle name="Percent 3 3 2 2 4 2 2 2" xfId="2753"/>
    <cellStyle name="Percent 3 3 2 2 4 2 2 2 2" xfId="4946"/>
    <cellStyle name="Percent 3 3 2 2 4 2 2 3" xfId="3850"/>
    <cellStyle name="Percent 3 3 2 2 4 2 3" xfId="2205"/>
    <cellStyle name="Percent 3 3 2 2 4 2 3 2" xfId="4398"/>
    <cellStyle name="Percent 3 3 2 2 4 2 4" xfId="3302"/>
    <cellStyle name="Percent 3 3 2 2 4 3" xfId="1383"/>
    <cellStyle name="Percent 3 3 2 2 4 3 2" xfId="2479"/>
    <cellStyle name="Percent 3 3 2 2 4 3 2 2" xfId="4672"/>
    <cellStyle name="Percent 3 3 2 2 4 3 3" xfId="3576"/>
    <cellStyle name="Percent 3 3 2 2 4 4" xfId="1931"/>
    <cellStyle name="Percent 3 3 2 2 4 4 2" xfId="4124"/>
    <cellStyle name="Percent 3 3 2 2 4 5" xfId="3028"/>
    <cellStyle name="Percent 3 3 2 2 5" xfId="968"/>
    <cellStyle name="Percent 3 3 2 2 5 2" xfId="1520"/>
    <cellStyle name="Percent 3 3 2 2 5 2 2" xfId="2616"/>
    <cellStyle name="Percent 3 3 2 2 5 2 2 2" xfId="4809"/>
    <cellStyle name="Percent 3 3 2 2 5 2 3" xfId="3713"/>
    <cellStyle name="Percent 3 3 2 2 5 3" xfId="2068"/>
    <cellStyle name="Percent 3 3 2 2 5 3 2" xfId="4261"/>
    <cellStyle name="Percent 3 3 2 2 5 4" xfId="3165"/>
    <cellStyle name="Percent 3 3 2 2 6" xfId="1246"/>
    <cellStyle name="Percent 3 3 2 2 6 2" xfId="2342"/>
    <cellStyle name="Percent 3 3 2 2 6 2 2" xfId="4535"/>
    <cellStyle name="Percent 3 3 2 2 6 3" xfId="3439"/>
    <cellStyle name="Percent 3 3 2 2 7" xfId="1794"/>
    <cellStyle name="Percent 3 3 2 2 7 2" xfId="3987"/>
    <cellStyle name="Percent 3 3 2 2 8" xfId="2891"/>
    <cellStyle name="Percent 3 3 2 3" xfId="707"/>
    <cellStyle name="Percent 3 3 2 3 2" xfId="777"/>
    <cellStyle name="Percent 3 3 2 3 2 2" xfId="914"/>
    <cellStyle name="Percent 3 3 2 3 2 2 2" xfId="1189"/>
    <cellStyle name="Percent 3 3 2 3 2 2 2 2" xfId="1741"/>
    <cellStyle name="Percent 3 3 2 3 2 2 2 2 2" xfId="2837"/>
    <cellStyle name="Percent 3 3 2 3 2 2 2 2 2 2" xfId="5030"/>
    <cellStyle name="Percent 3 3 2 3 2 2 2 2 3" xfId="3934"/>
    <cellStyle name="Percent 3 3 2 3 2 2 2 3" xfId="2289"/>
    <cellStyle name="Percent 3 3 2 3 2 2 2 3 2" xfId="4482"/>
    <cellStyle name="Percent 3 3 2 3 2 2 2 4" xfId="3386"/>
    <cellStyle name="Percent 3 3 2 3 2 2 3" xfId="1467"/>
    <cellStyle name="Percent 3 3 2 3 2 2 3 2" xfId="2563"/>
    <cellStyle name="Percent 3 3 2 3 2 2 3 2 2" xfId="4756"/>
    <cellStyle name="Percent 3 3 2 3 2 2 3 3" xfId="3660"/>
    <cellStyle name="Percent 3 3 2 3 2 2 4" xfId="2015"/>
    <cellStyle name="Percent 3 3 2 3 2 2 4 2" xfId="4208"/>
    <cellStyle name="Percent 3 3 2 3 2 2 5" xfId="3112"/>
    <cellStyle name="Percent 3 3 2 3 2 3" xfId="1052"/>
    <cellStyle name="Percent 3 3 2 3 2 3 2" xfId="1604"/>
    <cellStyle name="Percent 3 3 2 3 2 3 2 2" xfId="2700"/>
    <cellStyle name="Percent 3 3 2 3 2 3 2 2 2" xfId="4893"/>
    <cellStyle name="Percent 3 3 2 3 2 3 2 3" xfId="3797"/>
    <cellStyle name="Percent 3 3 2 3 2 3 3" xfId="2152"/>
    <cellStyle name="Percent 3 3 2 3 2 3 3 2" xfId="4345"/>
    <cellStyle name="Percent 3 3 2 3 2 3 4" xfId="3249"/>
    <cellStyle name="Percent 3 3 2 3 2 4" xfId="1330"/>
    <cellStyle name="Percent 3 3 2 3 2 4 2" xfId="2426"/>
    <cellStyle name="Percent 3 3 2 3 2 4 2 2" xfId="4619"/>
    <cellStyle name="Percent 3 3 2 3 2 4 3" xfId="3523"/>
    <cellStyle name="Percent 3 3 2 3 2 5" xfId="1878"/>
    <cellStyle name="Percent 3 3 2 3 2 5 2" xfId="4071"/>
    <cellStyle name="Percent 3 3 2 3 2 6" xfId="2975"/>
    <cellStyle name="Percent 3 3 2 3 3" xfId="846"/>
    <cellStyle name="Percent 3 3 2 3 3 2" xfId="1121"/>
    <cellStyle name="Percent 3 3 2 3 3 2 2" xfId="1673"/>
    <cellStyle name="Percent 3 3 2 3 3 2 2 2" xfId="2769"/>
    <cellStyle name="Percent 3 3 2 3 3 2 2 2 2" xfId="4962"/>
    <cellStyle name="Percent 3 3 2 3 3 2 2 3" xfId="3866"/>
    <cellStyle name="Percent 3 3 2 3 3 2 3" xfId="2221"/>
    <cellStyle name="Percent 3 3 2 3 3 2 3 2" xfId="4414"/>
    <cellStyle name="Percent 3 3 2 3 3 2 4" xfId="3318"/>
    <cellStyle name="Percent 3 3 2 3 3 3" xfId="1399"/>
    <cellStyle name="Percent 3 3 2 3 3 3 2" xfId="2495"/>
    <cellStyle name="Percent 3 3 2 3 3 3 2 2" xfId="4688"/>
    <cellStyle name="Percent 3 3 2 3 3 3 3" xfId="3592"/>
    <cellStyle name="Percent 3 3 2 3 3 4" xfId="1947"/>
    <cellStyle name="Percent 3 3 2 3 3 4 2" xfId="4140"/>
    <cellStyle name="Percent 3 3 2 3 3 5" xfId="3044"/>
    <cellStyle name="Percent 3 3 2 3 4" xfId="984"/>
    <cellStyle name="Percent 3 3 2 3 4 2" xfId="1536"/>
    <cellStyle name="Percent 3 3 2 3 4 2 2" xfId="2632"/>
    <cellStyle name="Percent 3 3 2 3 4 2 2 2" xfId="4825"/>
    <cellStyle name="Percent 3 3 2 3 4 2 3" xfId="3729"/>
    <cellStyle name="Percent 3 3 2 3 4 3" xfId="2084"/>
    <cellStyle name="Percent 3 3 2 3 4 3 2" xfId="4277"/>
    <cellStyle name="Percent 3 3 2 3 4 4" xfId="3181"/>
    <cellStyle name="Percent 3 3 2 3 5" xfId="1262"/>
    <cellStyle name="Percent 3 3 2 3 5 2" xfId="2358"/>
    <cellStyle name="Percent 3 3 2 3 5 2 2" xfId="4551"/>
    <cellStyle name="Percent 3 3 2 3 5 3" xfId="3455"/>
    <cellStyle name="Percent 3 3 2 3 6" xfId="1810"/>
    <cellStyle name="Percent 3 3 2 3 6 2" xfId="4003"/>
    <cellStyle name="Percent 3 3 2 3 7" xfId="2907"/>
    <cellStyle name="Percent 3 3 2 4" xfId="745"/>
    <cellStyle name="Percent 3 3 2 4 2" xfId="882"/>
    <cellStyle name="Percent 3 3 2 4 2 2" xfId="1157"/>
    <cellStyle name="Percent 3 3 2 4 2 2 2" xfId="1709"/>
    <cellStyle name="Percent 3 3 2 4 2 2 2 2" xfId="2805"/>
    <cellStyle name="Percent 3 3 2 4 2 2 2 2 2" xfId="4998"/>
    <cellStyle name="Percent 3 3 2 4 2 2 2 3" xfId="3902"/>
    <cellStyle name="Percent 3 3 2 4 2 2 3" xfId="2257"/>
    <cellStyle name="Percent 3 3 2 4 2 2 3 2" xfId="4450"/>
    <cellStyle name="Percent 3 3 2 4 2 2 4" xfId="3354"/>
    <cellStyle name="Percent 3 3 2 4 2 3" xfId="1435"/>
    <cellStyle name="Percent 3 3 2 4 2 3 2" xfId="2531"/>
    <cellStyle name="Percent 3 3 2 4 2 3 2 2" xfId="4724"/>
    <cellStyle name="Percent 3 3 2 4 2 3 3" xfId="3628"/>
    <cellStyle name="Percent 3 3 2 4 2 4" xfId="1983"/>
    <cellStyle name="Percent 3 3 2 4 2 4 2" xfId="4176"/>
    <cellStyle name="Percent 3 3 2 4 2 5" xfId="3080"/>
    <cellStyle name="Percent 3 3 2 4 3" xfId="1020"/>
    <cellStyle name="Percent 3 3 2 4 3 2" xfId="1572"/>
    <cellStyle name="Percent 3 3 2 4 3 2 2" xfId="2668"/>
    <cellStyle name="Percent 3 3 2 4 3 2 2 2" xfId="4861"/>
    <cellStyle name="Percent 3 3 2 4 3 2 3" xfId="3765"/>
    <cellStyle name="Percent 3 3 2 4 3 3" xfId="2120"/>
    <cellStyle name="Percent 3 3 2 4 3 3 2" xfId="4313"/>
    <cellStyle name="Percent 3 3 2 4 3 4" xfId="3217"/>
    <cellStyle name="Percent 3 3 2 4 4" xfId="1298"/>
    <cellStyle name="Percent 3 3 2 4 4 2" xfId="2394"/>
    <cellStyle name="Percent 3 3 2 4 4 2 2" xfId="4587"/>
    <cellStyle name="Percent 3 3 2 4 4 3" xfId="3491"/>
    <cellStyle name="Percent 3 3 2 4 5" xfId="1846"/>
    <cellStyle name="Percent 3 3 2 4 5 2" xfId="4039"/>
    <cellStyle name="Percent 3 3 2 4 6" xfId="2943"/>
    <cellStyle name="Percent 3 3 2 5" xfId="814"/>
    <cellStyle name="Percent 3 3 2 5 2" xfId="1089"/>
    <cellStyle name="Percent 3 3 2 5 2 2" xfId="1641"/>
    <cellStyle name="Percent 3 3 2 5 2 2 2" xfId="2737"/>
    <cellStyle name="Percent 3 3 2 5 2 2 2 2" xfId="4930"/>
    <cellStyle name="Percent 3 3 2 5 2 2 3" xfId="3834"/>
    <cellStyle name="Percent 3 3 2 5 2 3" xfId="2189"/>
    <cellStyle name="Percent 3 3 2 5 2 3 2" xfId="4382"/>
    <cellStyle name="Percent 3 3 2 5 2 4" xfId="3286"/>
    <cellStyle name="Percent 3 3 2 5 3" xfId="1367"/>
    <cellStyle name="Percent 3 3 2 5 3 2" xfId="2463"/>
    <cellStyle name="Percent 3 3 2 5 3 2 2" xfId="4656"/>
    <cellStyle name="Percent 3 3 2 5 3 3" xfId="3560"/>
    <cellStyle name="Percent 3 3 2 5 4" xfId="1915"/>
    <cellStyle name="Percent 3 3 2 5 4 2" xfId="4108"/>
    <cellStyle name="Percent 3 3 2 5 5" xfId="3012"/>
    <cellStyle name="Percent 3 3 2 6" xfId="952"/>
    <cellStyle name="Percent 3 3 2 6 2" xfId="1504"/>
    <cellStyle name="Percent 3 3 2 6 2 2" xfId="2600"/>
    <cellStyle name="Percent 3 3 2 6 2 2 2" xfId="4793"/>
    <cellStyle name="Percent 3 3 2 6 2 3" xfId="3697"/>
    <cellStyle name="Percent 3 3 2 6 3" xfId="2052"/>
    <cellStyle name="Percent 3 3 2 6 3 2" xfId="4245"/>
    <cellStyle name="Percent 3 3 2 6 4" xfId="3149"/>
    <cellStyle name="Percent 3 3 2 7" xfId="1230"/>
    <cellStyle name="Percent 3 3 2 7 2" xfId="2326"/>
    <cellStyle name="Percent 3 3 2 7 2 2" xfId="4519"/>
    <cellStyle name="Percent 3 3 2 7 3" xfId="3423"/>
    <cellStyle name="Percent 3 3 2 8" xfId="1778"/>
    <cellStyle name="Percent 3 3 2 8 2" xfId="3971"/>
    <cellStyle name="Percent 3 3 2 9" xfId="2875"/>
    <cellStyle name="Percent 3 3 3" xfId="679"/>
    <cellStyle name="Percent 3 3 3 2" xfId="715"/>
    <cellStyle name="Percent 3 3 3 2 2" xfId="785"/>
    <cellStyle name="Percent 3 3 3 2 2 2" xfId="922"/>
    <cellStyle name="Percent 3 3 3 2 2 2 2" xfId="1197"/>
    <cellStyle name="Percent 3 3 3 2 2 2 2 2" xfId="1749"/>
    <cellStyle name="Percent 3 3 3 2 2 2 2 2 2" xfId="2845"/>
    <cellStyle name="Percent 3 3 3 2 2 2 2 2 2 2" xfId="5038"/>
    <cellStyle name="Percent 3 3 3 2 2 2 2 2 3" xfId="3942"/>
    <cellStyle name="Percent 3 3 3 2 2 2 2 3" xfId="2297"/>
    <cellStyle name="Percent 3 3 3 2 2 2 2 3 2" xfId="4490"/>
    <cellStyle name="Percent 3 3 3 2 2 2 2 4" xfId="3394"/>
    <cellStyle name="Percent 3 3 3 2 2 2 3" xfId="1475"/>
    <cellStyle name="Percent 3 3 3 2 2 2 3 2" xfId="2571"/>
    <cellStyle name="Percent 3 3 3 2 2 2 3 2 2" xfId="4764"/>
    <cellStyle name="Percent 3 3 3 2 2 2 3 3" xfId="3668"/>
    <cellStyle name="Percent 3 3 3 2 2 2 4" xfId="2023"/>
    <cellStyle name="Percent 3 3 3 2 2 2 4 2" xfId="4216"/>
    <cellStyle name="Percent 3 3 3 2 2 2 5" xfId="3120"/>
    <cellStyle name="Percent 3 3 3 2 2 3" xfId="1060"/>
    <cellStyle name="Percent 3 3 3 2 2 3 2" xfId="1612"/>
    <cellStyle name="Percent 3 3 3 2 2 3 2 2" xfId="2708"/>
    <cellStyle name="Percent 3 3 3 2 2 3 2 2 2" xfId="4901"/>
    <cellStyle name="Percent 3 3 3 2 2 3 2 3" xfId="3805"/>
    <cellStyle name="Percent 3 3 3 2 2 3 3" xfId="2160"/>
    <cellStyle name="Percent 3 3 3 2 2 3 3 2" xfId="4353"/>
    <cellStyle name="Percent 3 3 3 2 2 3 4" xfId="3257"/>
    <cellStyle name="Percent 3 3 3 2 2 4" xfId="1338"/>
    <cellStyle name="Percent 3 3 3 2 2 4 2" xfId="2434"/>
    <cellStyle name="Percent 3 3 3 2 2 4 2 2" xfId="4627"/>
    <cellStyle name="Percent 3 3 3 2 2 4 3" xfId="3531"/>
    <cellStyle name="Percent 3 3 3 2 2 5" xfId="1886"/>
    <cellStyle name="Percent 3 3 3 2 2 5 2" xfId="4079"/>
    <cellStyle name="Percent 3 3 3 2 2 6" xfId="2983"/>
    <cellStyle name="Percent 3 3 3 2 3" xfId="854"/>
    <cellStyle name="Percent 3 3 3 2 3 2" xfId="1129"/>
    <cellStyle name="Percent 3 3 3 2 3 2 2" xfId="1681"/>
    <cellStyle name="Percent 3 3 3 2 3 2 2 2" xfId="2777"/>
    <cellStyle name="Percent 3 3 3 2 3 2 2 2 2" xfId="4970"/>
    <cellStyle name="Percent 3 3 3 2 3 2 2 3" xfId="3874"/>
    <cellStyle name="Percent 3 3 3 2 3 2 3" xfId="2229"/>
    <cellStyle name="Percent 3 3 3 2 3 2 3 2" xfId="4422"/>
    <cellStyle name="Percent 3 3 3 2 3 2 4" xfId="3326"/>
    <cellStyle name="Percent 3 3 3 2 3 3" xfId="1407"/>
    <cellStyle name="Percent 3 3 3 2 3 3 2" xfId="2503"/>
    <cellStyle name="Percent 3 3 3 2 3 3 2 2" xfId="4696"/>
    <cellStyle name="Percent 3 3 3 2 3 3 3" xfId="3600"/>
    <cellStyle name="Percent 3 3 3 2 3 4" xfId="1955"/>
    <cellStyle name="Percent 3 3 3 2 3 4 2" xfId="4148"/>
    <cellStyle name="Percent 3 3 3 2 3 5" xfId="3052"/>
    <cellStyle name="Percent 3 3 3 2 4" xfId="992"/>
    <cellStyle name="Percent 3 3 3 2 4 2" xfId="1544"/>
    <cellStyle name="Percent 3 3 3 2 4 2 2" xfId="2640"/>
    <cellStyle name="Percent 3 3 3 2 4 2 2 2" xfId="4833"/>
    <cellStyle name="Percent 3 3 3 2 4 2 3" xfId="3737"/>
    <cellStyle name="Percent 3 3 3 2 4 3" xfId="2092"/>
    <cellStyle name="Percent 3 3 3 2 4 3 2" xfId="4285"/>
    <cellStyle name="Percent 3 3 3 2 4 4" xfId="3189"/>
    <cellStyle name="Percent 3 3 3 2 5" xfId="1270"/>
    <cellStyle name="Percent 3 3 3 2 5 2" xfId="2366"/>
    <cellStyle name="Percent 3 3 3 2 5 2 2" xfId="4559"/>
    <cellStyle name="Percent 3 3 3 2 5 3" xfId="3463"/>
    <cellStyle name="Percent 3 3 3 2 6" xfId="1818"/>
    <cellStyle name="Percent 3 3 3 2 6 2" xfId="4011"/>
    <cellStyle name="Percent 3 3 3 2 7" xfId="2915"/>
    <cellStyle name="Percent 3 3 3 3" xfId="753"/>
    <cellStyle name="Percent 3 3 3 3 2" xfId="890"/>
    <cellStyle name="Percent 3 3 3 3 2 2" xfId="1165"/>
    <cellStyle name="Percent 3 3 3 3 2 2 2" xfId="1717"/>
    <cellStyle name="Percent 3 3 3 3 2 2 2 2" xfId="2813"/>
    <cellStyle name="Percent 3 3 3 3 2 2 2 2 2" xfId="5006"/>
    <cellStyle name="Percent 3 3 3 3 2 2 2 3" xfId="3910"/>
    <cellStyle name="Percent 3 3 3 3 2 2 3" xfId="2265"/>
    <cellStyle name="Percent 3 3 3 3 2 2 3 2" xfId="4458"/>
    <cellStyle name="Percent 3 3 3 3 2 2 4" xfId="3362"/>
    <cellStyle name="Percent 3 3 3 3 2 3" xfId="1443"/>
    <cellStyle name="Percent 3 3 3 3 2 3 2" xfId="2539"/>
    <cellStyle name="Percent 3 3 3 3 2 3 2 2" xfId="4732"/>
    <cellStyle name="Percent 3 3 3 3 2 3 3" xfId="3636"/>
    <cellStyle name="Percent 3 3 3 3 2 4" xfId="1991"/>
    <cellStyle name="Percent 3 3 3 3 2 4 2" xfId="4184"/>
    <cellStyle name="Percent 3 3 3 3 2 5" xfId="3088"/>
    <cellStyle name="Percent 3 3 3 3 3" xfId="1028"/>
    <cellStyle name="Percent 3 3 3 3 3 2" xfId="1580"/>
    <cellStyle name="Percent 3 3 3 3 3 2 2" xfId="2676"/>
    <cellStyle name="Percent 3 3 3 3 3 2 2 2" xfId="4869"/>
    <cellStyle name="Percent 3 3 3 3 3 2 3" xfId="3773"/>
    <cellStyle name="Percent 3 3 3 3 3 3" xfId="2128"/>
    <cellStyle name="Percent 3 3 3 3 3 3 2" xfId="4321"/>
    <cellStyle name="Percent 3 3 3 3 3 4" xfId="3225"/>
    <cellStyle name="Percent 3 3 3 3 4" xfId="1306"/>
    <cellStyle name="Percent 3 3 3 3 4 2" xfId="2402"/>
    <cellStyle name="Percent 3 3 3 3 4 2 2" xfId="4595"/>
    <cellStyle name="Percent 3 3 3 3 4 3" xfId="3499"/>
    <cellStyle name="Percent 3 3 3 3 5" xfId="1854"/>
    <cellStyle name="Percent 3 3 3 3 5 2" xfId="4047"/>
    <cellStyle name="Percent 3 3 3 3 6" xfId="2951"/>
    <cellStyle name="Percent 3 3 3 4" xfId="822"/>
    <cellStyle name="Percent 3 3 3 4 2" xfId="1097"/>
    <cellStyle name="Percent 3 3 3 4 2 2" xfId="1649"/>
    <cellStyle name="Percent 3 3 3 4 2 2 2" xfId="2745"/>
    <cellStyle name="Percent 3 3 3 4 2 2 2 2" xfId="4938"/>
    <cellStyle name="Percent 3 3 3 4 2 2 3" xfId="3842"/>
    <cellStyle name="Percent 3 3 3 4 2 3" xfId="2197"/>
    <cellStyle name="Percent 3 3 3 4 2 3 2" xfId="4390"/>
    <cellStyle name="Percent 3 3 3 4 2 4" xfId="3294"/>
    <cellStyle name="Percent 3 3 3 4 3" xfId="1375"/>
    <cellStyle name="Percent 3 3 3 4 3 2" xfId="2471"/>
    <cellStyle name="Percent 3 3 3 4 3 2 2" xfId="4664"/>
    <cellStyle name="Percent 3 3 3 4 3 3" xfId="3568"/>
    <cellStyle name="Percent 3 3 3 4 4" xfId="1923"/>
    <cellStyle name="Percent 3 3 3 4 4 2" xfId="4116"/>
    <cellStyle name="Percent 3 3 3 4 5" xfId="3020"/>
    <cellStyle name="Percent 3 3 3 5" xfId="960"/>
    <cellStyle name="Percent 3 3 3 5 2" xfId="1512"/>
    <cellStyle name="Percent 3 3 3 5 2 2" xfId="2608"/>
    <cellStyle name="Percent 3 3 3 5 2 2 2" xfId="4801"/>
    <cellStyle name="Percent 3 3 3 5 2 3" xfId="3705"/>
    <cellStyle name="Percent 3 3 3 5 3" xfId="2060"/>
    <cellStyle name="Percent 3 3 3 5 3 2" xfId="4253"/>
    <cellStyle name="Percent 3 3 3 5 4" xfId="3157"/>
    <cellStyle name="Percent 3 3 3 6" xfId="1238"/>
    <cellStyle name="Percent 3 3 3 6 2" xfId="2334"/>
    <cellStyle name="Percent 3 3 3 6 2 2" xfId="4527"/>
    <cellStyle name="Percent 3 3 3 6 3" xfId="3431"/>
    <cellStyle name="Percent 3 3 3 7" xfId="1786"/>
    <cellStyle name="Percent 3 3 3 7 2" xfId="3979"/>
    <cellStyle name="Percent 3 3 3 8" xfId="2883"/>
    <cellStyle name="Percent 3 3 4" xfId="699"/>
    <cellStyle name="Percent 3 3 4 2" xfId="769"/>
    <cellStyle name="Percent 3 3 4 2 2" xfId="906"/>
    <cellStyle name="Percent 3 3 4 2 2 2" xfId="1181"/>
    <cellStyle name="Percent 3 3 4 2 2 2 2" xfId="1733"/>
    <cellStyle name="Percent 3 3 4 2 2 2 2 2" xfId="2829"/>
    <cellStyle name="Percent 3 3 4 2 2 2 2 2 2" xfId="5022"/>
    <cellStyle name="Percent 3 3 4 2 2 2 2 3" xfId="3926"/>
    <cellStyle name="Percent 3 3 4 2 2 2 3" xfId="2281"/>
    <cellStyle name="Percent 3 3 4 2 2 2 3 2" xfId="4474"/>
    <cellStyle name="Percent 3 3 4 2 2 2 4" xfId="3378"/>
    <cellStyle name="Percent 3 3 4 2 2 3" xfId="1459"/>
    <cellStyle name="Percent 3 3 4 2 2 3 2" xfId="2555"/>
    <cellStyle name="Percent 3 3 4 2 2 3 2 2" xfId="4748"/>
    <cellStyle name="Percent 3 3 4 2 2 3 3" xfId="3652"/>
    <cellStyle name="Percent 3 3 4 2 2 4" xfId="2007"/>
    <cellStyle name="Percent 3 3 4 2 2 4 2" xfId="4200"/>
    <cellStyle name="Percent 3 3 4 2 2 5" xfId="3104"/>
    <cellStyle name="Percent 3 3 4 2 3" xfId="1044"/>
    <cellStyle name="Percent 3 3 4 2 3 2" xfId="1596"/>
    <cellStyle name="Percent 3 3 4 2 3 2 2" xfId="2692"/>
    <cellStyle name="Percent 3 3 4 2 3 2 2 2" xfId="4885"/>
    <cellStyle name="Percent 3 3 4 2 3 2 3" xfId="3789"/>
    <cellStyle name="Percent 3 3 4 2 3 3" xfId="2144"/>
    <cellStyle name="Percent 3 3 4 2 3 3 2" xfId="4337"/>
    <cellStyle name="Percent 3 3 4 2 3 4" xfId="3241"/>
    <cellStyle name="Percent 3 3 4 2 4" xfId="1322"/>
    <cellStyle name="Percent 3 3 4 2 4 2" xfId="2418"/>
    <cellStyle name="Percent 3 3 4 2 4 2 2" xfId="4611"/>
    <cellStyle name="Percent 3 3 4 2 4 3" xfId="3515"/>
    <cellStyle name="Percent 3 3 4 2 5" xfId="1870"/>
    <cellStyle name="Percent 3 3 4 2 5 2" xfId="4063"/>
    <cellStyle name="Percent 3 3 4 2 6" xfId="2967"/>
    <cellStyle name="Percent 3 3 4 3" xfId="838"/>
    <cellStyle name="Percent 3 3 4 3 2" xfId="1113"/>
    <cellStyle name="Percent 3 3 4 3 2 2" xfId="1665"/>
    <cellStyle name="Percent 3 3 4 3 2 2 2" xfId="2761"/>
    <cellStyle name="Percent 3 3 4 3 2 2 2 2" xfId="4954"/>
    <cellStyle name="Percent 3 3 4 3 2 2 3" xfId="3858"/>
    <cellStyle name="Percent 3 3 4 3 2 3" xfId="2213"/>
    <cellStyle name="Percent 3 3 4 3 2 3 2" xfId="4406"/>
    <cellStyle name="Percent 3 3 4 3 2 4" xfId="3310"/>
    <cellStyle name="Percent 3 3 4 3 3" xfId="1391"/>
    <cellStyle name="Percent 3 3 4 3 3 2" xfId="2487"/>
    <cellStyle name="Percent 3 3 4 3 3 2 2" xfId="4680"/>
    <cellStyle name="Percent 3 3 4 3 3 3" xfId="3584"/>
    <cellStyle name="Percent 3 3 4 3 4" xfId="1939"/>
    <cellStyle name="Percent 3 3 4 3 4 2" xfId="4132"/>
    <cellStyle name="Percent 3 3 4 3 5" xfId="3036"/>
    <cellStyle name="Percent 3 3 4 4" xfId="976"/>
    <cellStyle name="Percent 3 3 4 4 2" xfId="1528"/>
    <cellStyle name="Percent 3 3 4 4 2 2" xfId="2624"/>
    <cellStyle name="Percent 3 3 4 4 2 2 2" xfId="4817"/>
    <cellStyle name="Percent 3 3 4 4 2 3" xfId="3721"/>
    <cellStyle name="Percent 3 3 4 4 3" xfId="2076"/>
    <cellStyle name="Percent 3 3 4 4 3 2" xfId="4269"/>
    <cellStyle name="Percent 3 3 4 4 4" xfId="3173"/>
    <cellStyle name="Percent 3 3 4 5" xfId="1254"/>
    <cellStyle name="Percent 3 3 4 5 2" xfId="2350"/>
    <cellStyle name="Percent 3 3 4 5 2 2" xfId="4543"/>
    <cellStyle name="Percent 3 3 4 5 3" xfId="3447"/>
    <cellStyle name="Percent 3 3 4 6" xfId="1802"/>
    <cellStyle name="Percent 3 3 4 6 2" xfId="3995"/>
    <cellStyle name="Percent 3 3 4 7" xfId="2899"/>
    <cellStyle name="Percent 3 3 5" xfId="737"/>
    <cellStyle name="Percent 3 3 5 2" xfId="874"/>
    <cellStyle name="Percent 3 3 5 2 2" xfId="1149"/>
    <cellStyle name="Percent 3 3 5 2 2 2" xfId="1701"/>
    <cellStyle name="Percent 3 3 5 2 2 2 2" xfId="2797"/>
    <cellStyle name="Percent 3 3 5 2 2 2 2 2" xfId="4990"/>
    <cellStyle name="Percent 3 3 5 2 2 2 3" xfId="3894"/>
    <cellStyle name="Percent 3 3 5 2 2 3" xfId="2249"/>
    <cellStyle name="Percent 3 3 5 2 2 3 2" xfId="4442"/>
    <cellStyle name="Percent 3 3 5 2 2 4" xfId="3346"/>
    <cellStyle name="Percent 3 3 5 2 3" xfId="1427"/>
    <cellStyle name="Percent 3 3 5 2 3 2" xfId="2523"/>
    <cellStyle name="Percent 3 3 5 2 3 2 2" xfId="4716"/>
    <cellStyle name="Percent 3 3 5 2 3 3" xfId="3620"/>
    <cellStyle name="Percent 3 3 5 2 4" xfId="1975"/>
    <cellStyle name="Percent 3 3 5 2 4 2" xfId="4168"/>
    <cellStyle name="Percent 3 3 5 2 5" xfId="3072"/>
    <cellStyle name="Percent 3 3 5 3" xfId="1012"/>
    <cellStyle name="Percent 3 3 5 3 2" xfId="1564"/>
    <cellStyle name="Percent 3 3 5 3 2 2" xfId="2660"/>
    <cellStyle name="Percent 3 3 5 3 2 2 2" xfId="4853"/>
    <cellStyle name="Percent 3 3 5 3 2 3" xfId="3757"/>
    <cellStyle name="Percent 3 3 5 3 3" xfId="2112"/>
    <cellStyle name="Percent 3 3 5 3 3 2" xfId="4305"/>
    <cellStyle name="Percent 3 3 5 3 4" xfId="3209"/>
    <cellStyle name="Percent 3 3 5 4" xfId="1290"/>
    <cellStyle name="Percent 3 3 5 4 2" xfId="2386"/>
    <cellStyle name="Percent 3 3 5 4 2 2" xfId="4579"/>
    <cellStyle name="Percent 3 3 5 4 3" xfId="3483"/>
    <cellStyle name="Percent 3 3 5 5" xfId="1838"/>
    <cellStyle name="Percent 3 3 5 5 2" xfId="4031"/>
    <cellStyle name="Percent 3 3 5 6" xfId="2935"/>
    <cellStyle name="Percent 3 3 6" xfId="806"/>
    <cellStyle name="Percent 3 3 6 2" xfId="1081"/>
    <cellStyle name="Percent 3 3 6 2 2" xfId="1633"/>
    <cellStyle name="Percent 3 3 6 2 2 2" xfId="2729"/>
    <cellStyle name="Percent 3 3 6 2 2 2 2" xfId="4922"/>
    <cellStyle name="Percent 3 3 6 2 2 3" xfId="3826"/>
    <cellStyle name="Percent 3 3 6 2 3" xfId="2181"/>
    <cellStyle name="Percent 3 3 6 2 3 2" xfId="4374"/>
    <cellStyle name="Percent 3 3 6 2 4" xfId="3278"/>
    <cellStyle name="Percent 3 3 6 3" xfId="1359"/>
    <cellStyle name="Percent 3 3 6 3 2" xfId="2455"/>
    <cellStyle name="Percent 3 3 6 3 2 2" xfId="4648"/>
    <cellStyle name="Percent 3 3 6 3 3" xfId="3552"/>
    <cellStyle name="Percent 3 3 6 4" xfId="1907"/>
    <cellStyle name="Percent 3 3 6 4 2" xfId="4100"/>
    <cellStyle name="Percent 3 3 6 5" xfId="3004"/>
    <cellStyle name="Percent 3 3 7" xfId="944"/>
    <cellStyle name="Percent 3 3 7 2" xfId="1496"/>
    <cellStyle name="Percent 3 3 7 2 2" xfId="2592"/>
    <cellStyle name="Percent 3 3 7 2 2 2" xfId="4785"/>
    <cellStyle name="Percent 3 3 7 2 3" xfId="3689"/>
    <cellStyle name="Percent 3 3 7 3" xfId="2044"/>
    <cellStyle name="Percent 3 3 7 3 2" xfId="4237"/>
    <cellStyle name="Percent 3 3 7 4" xfId="3141"/>
    <cellStyle name="Percent 3 3 8" xfId="1222"/>
    <cellStyle name="Percent 3 3 8 2" xfId="2318"/>
    <cellStyle name="Percent 3 3 8 2 2" xfId="4511"/>
    <cellStyle name="Percent 3 3 8 3" xfId="3415"/>
    <cellStyle name="Percent 3 3 9" xfId="1770"/>
    <cellStyle name="Percent 3 3 9 2" xfId="3963"/>
    <cellStyle name="Percent 3 4" xfId="663"/>
    <cellStyle name="Percent 3 4 2" xfId="683"/>
    <cellStyle name="Percent 3 4 2 2" xfId="719"/>
    <cellStyle name="Percent 3 4 2 2 2" xfId="789"/>
    <cellStyle name="Percent 3 4 2 2 2 2" xfId="926"/>
    <cellStyle name="Percent 3 4 2 2 2 2 2" xfId="1201"/>
    <cellStyle name="Percent 3 4 2 2 2 2 2 2" xfId="1753"/>
    <cellStyle name="Percent 3 4 2 2 2 2 2 2 2" xfId="2849"/>
    <cellStyle name="Percent 3 4 2 2 2 2 2 2 2 2" xfId="5042"/>
    <cellStyle name="Percent 3 4 2 2 2 2 2 2 3" xfId="3946"/>
    <cellStyle name="Percent 3 4 2 2 2 2 2 3" xfId="2301"/>
    <cellStyle name="Percent 3 4 2 2 2 2 2 3 2" xfId="4494"/>
    <cellStyle name="Percent 3 4 2 2 2 2 2 4" xfId="3398"/>
    <cellStyle name="Percent 3 4 2 2 2 2 3" xfId="1479"/>
    <cellStyle name="Percent 3 4 2 2 2 2 3 2" xfId="2575"/>
    <cellStyle name="Percent 3 4 2 2 2 2 3 2 2" xfId="4768"/>
    <cellStyle name="Percent 3 4 2 2 2 2 3 3" xfId="3672"/>
    <cellStyle name="Percent 3 4 2 2 2 2 4" xfId="2027"/>
    <cellStyle name="Percent 3 4 2 2 2 2 4 2" xfId="4220"/>
    <cellStyle name="Percent 3 4 2 2 2 2 5" xfId="3124"/>
    <cellStyle name="Percent 3 4 2 2 2 3" xfId="1064"/>
    <cellStyle name="Percent 3 4 2 2 2 3 2" xfId="1616"/>
    <cellStyle name="Percent 3 4 2 2 2 3 2 2" xfId="2712"/>
    <cellStyle name="Percent 3 4 2 2 2 3 2 2 2" xfId="4905"/>
    <cellStyle name="Percent 3 4 2 2 2 3 2 3" xfId="3809"/>
    <cellStyle name="Percent 3 4 2 2 2 3 3" xfId="2164"/>
    <cellStyle name="Percent 3 4 2 2 2 3 3 2" xfId="4357"/>
    <cellStyle name="Percent 3 4 2 2 2 3 4" xfId="3261"/>
    <cellStyle name="Percent 3 4 2 2 2 4" xfId="1342"/>
    <cellStyle name="Percent 3 4 2 2 2 4 2" xfId="2438"/>
    <cellStyle name="Percent 3 4 2 2 2 4 2 2" xfId="4631"/>
    <cellStyle name="Percent 3 4 2 2 2 4 3" xfId="3535"/>
    <cellStyle name="Percent 3 4 2 2 2 5" xfId="1890"/>
    <cellStyle name="Percent 3 4 2 2 2 5 2" xfId="4083"/>
    <cellStyle name="Percent 3 4 2 2 2 6" xfId="2987"/>
    <cellStyle name="Percent 3 4 2 2 3" xfId="858"/>
    <cellStyle name="Percent 3 4 2 2 3 2" xfId="1133"/>
    <cellStyle name="Percent 3 4 2 2 3 2 2" xfId="1685"/>
    <cellStyle name="Percent 3 4 2 2 3 2 2 2" xfId="2781"/>
    <cellStyle name="Percent 3 4 2 2 3 2 2 2 2" xfId="4974"/>
    <cellStyle name="Percent 3 4 2 2 3 2 2 3" xfId="3878"/>
    <cellStyle name="Percent 3 4 2 2 3 2 3" xfId="2233"/>
    <cellStyle name="Percent 3 4 2 2 3 2 3 2" xfId="4426"/>
    <cellStyle name="Percent 3 4 2 2 3 2 4" xfId="3330"/>
    <cellStyle name="Percent 3 4 2 2 3 3" xfId="1411"/>
    <cellStyle name="Percent 3 4 2 2 3 3 2" xfId="2507"/>
    <cellStyle name="Percent 3 4 2 2 3 3 2 2" xfId="4700"/>
    <cellStyle name="Percent 3 4 2 2 3 3 3" xfId="3604"/>
    <cellStyle name="Percent 3 4 2 2 3 4" xfId="1959"/>
    <cellStyle name="Percent 3 4 2 2 3 4 2" xfId="4152"/>
    <cellStyle name="Percent 3 4 2 2 3 5" xfId="3056"/>
    <cellStyle name="Percent 3 4 2 2 4" xfId="996"/>
    <cellStyle name="Percent 3 4 2 2 4 2" xfId="1548"/>
    <cellStyle name="Percent 3 4 2 2 4 2 2" xfId="2644"/>
    <cellStyle name="Percent 3 4 2 2 4 2 2 2" xfId="4837"/>
    <cellStyle name="Percent 3 4 2 2 4 2 3" xfId="3741"/>
    <cellStyle name="Percent 3 4 2 2 4 3" xfId="2096"/>
    <cellStyle name="Percent 3 4 2 2 4 3 2" xfId="4289"/>
    <cellStyle name="Percent 3 4 2 2 4 4" xfId="3193"/>
    <cellStyle name="Percent 3 4 2 2 5" xfId="1274"/>
    <cellStyle name="Percent 3 4 2 2 5 2" xfId="2370"/>
    <cellStyle name="Percent 3 4 2 2 5 2 2" xfId="4563"/>
    <cellStyle name="Percent 3 4 2 2 5 3" xfId="3467"/>
    <cellStyle name="Percent 3 4 2 2 6" xfId="1822"/>
    <cellStyle name="Percent 3 4 2 2 6 2" xfId="4015"/>
    <cellStyle name="Percent 3 4 2 2 7" xfId="2919"/>
    <cellStyle name="Percent 3 4 2 3" xfId="757"/>
    <cellStyle name="Percent 3 4 2 3 2" xfId="894"/>
    <cellStyle name="Percent 3 4 2 3 2 2" xfId="1169"/>
    <cellStyle name="Percent 3 4 2 3 2 2 2" xfId="1721"/>
    <cellStyle name="Percent 3 4 2 3 2 2 2 2" xfId="2817"/>
    <cellStyle name="Percent 3 4 2 3 2 2 2 2 2" xfId="5010"/>
    <cellStyle name="Percent 3 4 2 3 2 2 2 3" xfId="3914"/>
    <cellStyle name="Percent 3 4 2 3 2 2 3" xfId="2269"/>
    <cellStyle name="Percent 3 4 2 3 2 2 3 2" xfId="4462"/>
    <cellStyle name="Percent 3 4 2 3 2 2 4" xfId="3366"/>
    <cellStyle name="Percent 3 4 2 3 2 3" xfId="1447"/>
    <cellStyle name="Percent 3 4 2 3 2 3 2" xfId="2543"/>
    <cellStyle name="Percent 3 4 2 3 2 3 2 2" xfId="4736"/>
    <cellStyle name="Percent 3 4 2 3 2 3 3" xfId="3640"/>
    <cellStyle name="Percent 3 4 2 3 2 4" xfId="1995"/>
    <cellStyle name="Percent 3 4 2 3 2 4 2" xfId="4188"/>
    <cellStyle name="Percent 3 4 2 3 2 5" xfId="3092"/>
    <cellStyle name="Percent 3 4 2 3 3" xfId="1032"/>
    <cellStyle name="Percent 3 4 2 3 3 2" xfId="1584"/>
    <cellStyle name="Percent 3 4 2 3 3 2 2" xfId="2680"/>
    <cellStyle name="Percent 3 4 2 3 3 2 2 2" xfId="4873"/>
    <cellStyle name="Percent 3 4 2 3 3 2 3" xfId="3777"/>
    <cellStyle name="Percent 3 4 2 3 3 3" xfId="2132"/>
    <cellStyle name="Percent 3 4 2 3 3 3 2" xfId="4325"/>
    <cellStyle name="Percent 3 4 2 3 3 4" xfId="3229"/>
    <cellStyle name="Percent 3 4 2 3 4" xfId="1310"/>
    <cellStyle name="Percent 3 4 2 3 4 2" xfId="2406"/>
    <cellStyle name="Percent 3 4 2 3 4 2 2" xfId="4599"/>
    <cellStyle name="Percent 3 4 2 3 4 3" xfId="3503"/>
    <cellStyle name="Percent 3 4 2 3 5" xfId="1858"/>
    <cellStyle name="Percent 3 4 2 3 5 2" xfId="4051"/>
    <cellStyle name="Percent 3 4 2 3 6" xfId="2955"/>
    <cellStyle name="Percent 3 4 2 4" xfId="826"/>
    <cellStyle name="Percent 3 4 2 4 2" xfId="1101"/>
    <cellStyle name="Percent 3 4 2 4 2 2" xfId="1653"/>
    <cellStyle name="Percent 3 4 2 4 2 2 2" xfId="2749"/>
    <cellStyle name="Percent 3 4 2 4 2 2 2 2" xfId="4942"/>
    <cellStyle name="Percent 3 4 2 4 2 2 3" xfId="3846"/>
    <cellStyle name="Percent 3 4 2 4 2 3" xfId="2201"/>
    <cellStyle name="Percent 3 4 2 4 2 3 2" xfId="4394"/>
    <cellStyle name="Percent 3 4 2 4 2 4" xfId="3298"/>
    <cellStyle name="Percent 3 4 2 4 3" xfId="1379"/>
    <cellStyle name="Percent 3 4 2 4 3 2" xfId="2475"/>
    <cellStyle name="Percent 3 4 2 4 3 2 2" xfId="4668"/>
    <cellStyle name="Percent 3 4 2 4 3 3" xfId="3572"/>
    <cellStyle name="Percent 3 4 2 4 4" xfId="1927"/>
    <cellStyle name="Percent 3 4 2 4 4 2" xfId="4120"/>
    <cellStyle name="Percent 3 4 2 4 5" xfId="3024"/>
    <cellStyle name="Percent 3 4 2 5" xfId="964"/>
    <cellStyle name="Percent 3 4 2 5 2" xfId="1516"/>
    <cellStyle name="Percent 3 4 2 5 2 2" xfId="2612"/>
    <cellStyle name="Percent 3 4 2 5 2 2 2" xfId="4805"/>
    <cellStyle name="Percent 3 4 2 5 2 3" xfId="3709"/>
    <cellStyle name="Percent 3 4 2 5 3" xfId="2064"/>
    <cellStyle name="Percent 3 4 2 5 3 2" xfId="4257"/>
    <cellStyle name="Percent 3 4 2 5 4" xfId="3161"/>
    <cellStyle name="Percent 3 4 2 6" xfId="1242"/>
    <cellStyle name="Percent 3 4 2 6 2" xfId="2338"/>
    <cellStyle name="Percent 3 4 2 6 2 2" xfId="4531"/>
    <cellStyle name="Percent 3 4 2 6 3" xfId="3435"/>
    <cellStyle name="Percent 3 4 2 7" xfId="1790"/>
    <cellStyle name="Percent 3 4 2 7 2" xfId="3983"/>
    <cellStyle name="Percent 3 4 2 8" xfId="2887"/>
    <cellStyle name="Percent 3 4 3" xfId="703"/>
    <cellStyle name="Percent 3 4 3 2" xfId="773"/>
    <cellStyle name="Percent 3 4 3 2 2" xfId="910"/>
    <cellStyle name="Percent 3 4 3 2 2 2" xfId="1185"/>
    <cellStyle name="Percent 3 4 3 2 2 2 2" xfId="1737"/>
    <cellStyle name="Percent 3 4 3 2 2 2 2 2" xfId="2833"/>
    <cellStyle name="Percent 3 4 3 2 2 2 2 2 2" xfId="5026"/>
    <cellStyle name="Percent 3 4 3 2 2 2 2 3" xfId="3930"/>
    <cellStyle name="Percent 3 4 3 2 2 2 3" xfId="2285"/>
    <cellStyle name="Percent 3 4 3 2 2 2 3 2" xfId="4478"/>
    <cellStyle name="Percent 3 4 3 2 2 2 4" xfId="3382"/>
    <cellStyle name="Percent 3 4 3 2 2 3" xfId="1463"/>
    <cellStyle name="Percent 3 4 3 2 2 3 2" xfId="2559"/>
    <cellStyle name="Percent 3 4 3 2 2 3 2 2" xfId="4752"/>
    <cellStyle name="Percent 3 4 3 2 2 3 3" xfId="3656"/>
    <cellStyle name="Percent 3 4 3 2 2 4" xfId="2011"/>
    <cellStyle name="Percent 3 4 3 2 2 4 2" xfId="4204"/>
    <cellStyle name="Percent 3 4 3 2 2 5" xfId="3108"/>
    <cellStyle name="Percent 3 4 3 2 3" xfId="1048"/>
    <cellStyle name="Percent 3 4 3 2 3 2" xfId="1600"/>
    <cellStyle name="Percent 3 4 3 2 3 2 2" xfId="2696"/>
    <cellStyle name="Percent 3 4 3 2 3 2 2 2" xfId="4889"/>
    <cellStyle name="Percent 3 4 3 2 3 2 3" xfId="3793"/>
    <cellStyle name="Percent 3 4 3 2 3 3" xfId="2148"/>
    <cellStyle name="Percent 3 4 3 2 3 3 2" xfId="4341"/>
    <cellStyle name="Percent 3 4 3 2 3 4" xfId="3245"/>
    <cellStyle name="Percent 3 4 3 2 4" xfId="1326"/>
    <cellStyle name="Percent 3 4 3 2 4 2" xfId="2422"/>
    <cellStyle name="Percent 3 4 3 2 4 2 2" xfId="4615"/>
    <cellStyle name="Percent 3 4 3 2 4 3" xfId="3519"/>
    <cellStyle name="Percent 3 4 3 2 5" xfId="1874"/>
    <cellStyle name="Percent 3 4 3 2 5 2" xfId="4067"/>
    <cellStyle name="Percent 3 4 3 2 6" xfId="2971"/>
    <cellStyle name="Percent 3 4 3 3" xfId="842"/>
    <cellStyle name="Percent 3 4 3 3 2" xfId="1117"/>
    <cellStyle name="Percent 3 4 3 3 2 2" xfId="1669"/>
    <cellStyle name="Percent 3 4 3 3 2 2 2" xfId="2765"/>
    <cellStyle name="Percent 3 4 3 3 2 2 2 2" xfId="4958"/>
    <cellStyle name="Percent 3 4 3 3 2 2 3" xfId="3862"/>
    <cellStyle name="Percent 3 4 3 3 2 3" xfId="2217"/>
    <cellStyle name="Percent 3 4 3 3 2 3 2" xfId="4410"/>
    <cellStyle name="Percent 3 4 3 3 2 4" xfId="3314"/>
    <cellStyle name="Percent 3 4 3 3 3" xfId="1395"/>
    <cellStyle name="Percent 3 4 3 3 3 2" xfId="2491"/>
    <cellStyle name="Percent 3 4 3 3 3 2 2" xfId="4684"/>
    <cellStyle name="Percent 3 4 3 3 3 3" xfId="3588"/>
    <cellStyle name="Percent 3 4 3 3 4" xfId="1943"/>
    <cellStyle name="Percent 3 4 3 3 4 2" xfId="4136"/>
    <cellStyle name="Percent 3 4 3 3 5" xfId="3040"/>
    <cellStyle name="Percent 3 4 3 4" xfId="980"/>
    <cellStyle name="Percent 3 4 3 4 2" xfId="1532"/>
    <cellStyle name="Percent 3 4 3 4 2 2" xfId="2628"/>
    <cellStyle name="Percent 3 4 3 4 2 2 2" xfId="4821"/>
    <cellStyle name="Percent 3 4 3 4 2 3" xfId="3725"/>
    <cellStyle name="Percent 3 4 3 4 3" xfId="2080"/>
    <cellStyle name="Percent 3 4 3 4 3 2" xfId="4273"/>
    <cellStyle name="Percent 3 4 3 4 4" xfId="3177"/>
    <cellStyle name="Percent 3 4 3 5" xfId="1258"/>
    <cellStyle name="Percent 3 4 3 5 2" xfId="2354"/>
    <cellStyle name="Percent 3 4 3 5 2 2" xfId="4547"/>
    <cellStyle name="Percent 3 4 3 5 3" xfId="3451"/>
    <cellStyle name="Percent 3 4 3 6" xfId="1806"/>
    <cellStyle name="Percent 3 4 3 6 2" xfId="3999"/>
    <cellStyle name="Percent 3 4 3 7" xfId="2903"/>
    <cellStyle name="Percent 3 4 4" xfId="741"/>
    <cellStyle name="Percent 3 4 4 2" xfId="878"/>
    <cellStyle name="Percent 3 4 4 2 2" xfId="1153"/>
    <cellStyle name="Percent 3 4 4 2 2 2" xfId="1705"/>
    <cellStyle name="Percent 3 4 4 2 2 2 2" xfId="2801"/>
    <cellStyle name="Percent 3 4 4 2 2 2 2 2" xfId="4994"/>
    <cellStyle name="Percent 3 4 4 2 2 2 3" xfId="3898"/>
    <cellStyle name="Percent 3 4 4 2 2 3" xfId="2253"/>
    <cellStyle name="Percent 3 4 4 2 2 3 2" xfId="4446"/>
    <cellStyle name="Percent 3 4 4 2 2 4" xfId="3350"/>
    <cellStyle name="Percent 3 4 4 2 3" xfId="1431"/>
    <cellStyle name="Percent 3 4 4 2 3 2" xfId="2527"/>
    <cellStyle name="Percent 3 4 4 2 3 2 2" xfId="4720"/>
    <cellStyle name="Percent 3 4 4 2 3 3" xfId="3624"/>
    <cellStyle name="Percent 3 4 4 2 4" xfId="1979"/>
    <cellStyle name="Percent 3 4 4 2 4 2" xfId="4172"/>
    <cellStyle name="Percent 3 4 4 2 5" xfId="3076"/>
    <cellStyle name="Percent 3 4 4 3" xfId="1016"/>
    <cellStyle name="Percent 3 4 4 3 2" xfId="1568"/>
    <cellStyle name="Percent 3 4 4 3 2 2" xfId="2664"/>
    <cellStyle name="Percent 3 4 4 3 2 2 2" xfId="4857"/>
    <cellStyle name="Percent 3 4 4 3 2 3" xfId="3761"/>
    <cellStyle name="Percent 3 4 4 3 3" xfId="2116"/>
    <cellStyle name="Percent 3 4 4 3 3 2" xfId="4309"/>
    <cellStyle name="Percent 3 4 4 3 4" xfId="3213"/>
    <cellStyle name="Percent 3 4 4 4" xfId="1294"/>
    <cellStyle name="Percent 3 4 4 4 2" xfId="2390"/>
    <cellStyle name="Percent 3 4 4 4 2 2" xfId="4583"/>
    <cellStyle name="Percent 3 4 4 4 3" xfId="3487"/>
    <cellStyle name="Percent 3 4 4 5" xfId="1842"/>
    <cellStyle name="Percent 3 4 4 5 2" xfId="4035"/>
    <cellStyle name="Percent 3 4 4 6" xfId="2939"/>
    <cellStyle name="Percent 3 4 5" xfId="810"/>
    <cellStyle name="Percent 3 4 5 2" xfId="1085"/>
    <cellStyle name="Percent 3 4 5 2 2" xfId="1637"/>
    <cellStyle name="Percent 3 4 5 2 2 2" xfId="2733"/>
    <cellStyle name="Percent 3 4 5 2 2 2 2" xfId="4926"/>
    <cellStyle name="Percent 3 4 5 2 2 3" xfId="3830"/>
    <cellStyle name="Percent 3 4 5 2 3" xfId="2185"/>
    <cellStyle name="Percent 3 4 5 2 3 2" xfId="4378"/>
    <cellStyle name="Percent 3 4 5 2 4" xfId="3282"/>
    <cellStyle name="Percent 3 4 5 3" xfId="1363"/>
    <cellStyle name="Percent 3 4 5 3 2" xfId="2459"/>
    <cellStyle name="Percent 3 4 5 3 2 2" xfId="4652"/>
    <cellStyle name="Percent 3 4 5 3 3" xfId="3556"/>
    <cellStyle name="Percent 3 4 5 4" xfId="1911"/>
    <cellStyle name="Percent 3 4 5 4 2" xfId="4104"/>
    <cellStyle name="Percent 3 4 5 5" xfId="3008"/>
    <cellStyle name="Percent 3 4 6" xfId="948"/>
    <cellStyle name="Percent 3 4 6 2" xfId="1500"/>
    <cellStyle name="Percent 3 4 6 2 2" xfId="2596"/>
    <cellStyle name="Percent 3 4 6 2 2 2" xfId="4789"/>
    <cellStyle name="Percent 3 4 6 2 3" xfId="3693"/>
    <cellStyle name="Percent 3 4 6 3" xfId="2048"/>
    <cellStyle name="Percent 3 4 6 3 2" xfId="4241"/>
    <cellStyle name="Percent 3 4 6 4" xfId="3145"/>
    <cellStyle name="Percent 3 4 7" xfId="1226"/>
    <cellStyle name="Percent 3 4 7 2" xfId="2322"/>
    <cellStyle name="Percent 3 4 7 2 2" xfId="4515"/>
    <cellStyle name="Percent 3 4 7 3" xfId="3419"/>
    <cellStyle name="Percent 3 4 8" xfId="1774"/>
    <cellStyle name="Percent 3 4 8 2" xfId="3967"/>
    <cellStyle name="Percent 3 4 9" xfId="2871"/>
    <cellStyle name="Percent 3 5" xfId="675"/>
    <cellStyle name="Percent 3 5 2" xfId="711"/>
    <cellStyle name="Percent 3 5 2 2" xfId="781"/>
    <cellStyle name="Percent 3 5 2 2 2" xfId="918"/>
    <cellStyle name="Percent 3 5 2 2 2 2" xfId="1193"/>
    <cellStyle name="Percent 3 5 2 2 2 2 2" xfId="1745"/>
    <cellStyle name="Percent 3 5 2 2 2 2 2 2" xfId="2841"/>
    <cellStyle name="Percent 3 5 2 2 2 2 2 2 2" xfId="5034"/>
    <cellStyle name="Percent 3 5 2 2 2 2 2 3" xfId="3938"/>
    <cellStyle name="Percent 3 5 2 2 2 2 3" xfId="2293"/>
    <cellStyle name="Percent 3 5 2 2 2 2 3 2" xfId="4486"/>
    <cellStyle name="Percent 3 5 2 2 2 2 4" xfId="3390"/>
    <cellStyle name="Percent 3 5 2 2 2 3" xfId="1471"/>
    <cellStyle name="Percent 3 5 2 2 2 3 2" xfId="2567"/>
    <cellStyle name="Percent 3 5 2 2 2 3 2 2" xfId="4760"/>
    <cellStyle name="Percent 3 5 2 2 2 3 3" xfId="3664"/>
    <cellStyle name="Percent 3 5 2 2 2 4" xfId="2019"/>
    <cellStyle name="Percent 3 5 2 2 2 4 2" xfId="4212"/>
    <cellStyle name="Percent 3 5 2 2 2 5" xfId="3116"/>
    <cellStyle name="Percent 3 5 2 2 3" xfId="1056"/>
    <cellStyle name="Percent 3 5 2 2 3 2" xfId="1608"/>
    <cellStyle name="Percent 3 5 2 2 3 2 2" xfId="2704"/>
    <cellStyle name="Percent 3 5 2 2 3 2 2 2" xfId="4897"/>
    <cellStyle name="Percent 3 5 2 2 3 2 3" xfId="3801"/>
    <cellStyle name="Percent 3 5 2 2 3 3" xfId="2156"/>
    <cellStyle name="Percent 3 5 2 2 3 3 2" xfId="4349"/>
    <cellStyle name="Percent 3 5 2 2 3 4" xfId="3253"/>
    <cellStyle name="Percent 3 5 2 2 4" xfId="1334"/>
    <cellStyle name="Percent 3 5 2 2 4 2" xfId="2430"/>
    <cellStyle name="Percent 3 5 2 2 4 2 2" xfId="4623"/>
    <cellStyle name="Percent 3 5 2 2 4 3" xfId="3527"/>
    <cellStyle name="Percent 3 5 2 2 5" xfId="1882"/>
    <cellStyle name="Percent 3 5 2 2 5 2" xfId="4075"/>
    <cellStyle name="Percent 3 5 2 2 6" xfId="2979"/>
    <cellStyle name="Percent 3 5 2 3" xfId="850"/>
    <cellStyle name="Percent 3 5 2 3 2" xfId="1125"/>
    <cellStyle name="Percent 3 5 2 3 2 2" xfId="1677"/>
    <cellStyle name="Percent 3 5 2 3 2 2 2" xfId="2773"/>
    <cellStyle name="Percent 3 5 2 3 2 2 2 2" xfId="4966"/>
    <cellStyle name="Percent 3 5 2 3 2 2 3" xfId="3870"/>
    <cellStyle name="Percent 3 5 2 3 2 3" xfId="2225"/>
    <cellStyle name="Percent 3 5 2 3 2 3 2" xfId="4418"/>
    <cellStyle name="Percent 3 5 2 3 2 4" xfId="3322"/>
    <cellStyle name="Percent 3 5 2 3 3" xfId="1403"/>
    <cellStyle name="Percent 3 5 2 3 3 2" xfId="2499"/>
    <cellStyle name="Percent 3 5 2 3 3 2 2" xfId="4692"/>
    <cellStyle name="Percent 3 5 2 3 3 3" xfId="3596"/>
    <cellStyle name="Percent 3 5 2 3 4" xfId="1951"/>
    <cellStyle name="Percent 3 5 2 3 4 2" xfId="4144"/>
    <cellStyle name="Percent 3 5 2 3 5" xfId="3048"/>
    <cellStyle name="Percent 3 5 2 4" xfId="988"/>
    <cellStyle name="Percent 3 5 2 4 2" xfId="1540"/>
    <cellStyle name="Percent 3 5 2 4 2 2" xfId="2636"/>
    <cellStyle name="Percent 3 5 2 4 2 2 2" xfId="4829"/>
    <cellStyle name="Percent 3 5 2 4 2 3" xfId="3733"/>
    <cellStyle name="Percent 3 5 2 4 3" xfId="2088"/>
    <cellStyle name="Percent 3 5 2 4 3 2" xfId="4281"/>
    <cellStyle name="Percent 3 5 2 4 4" xfId="3185"/>
    <cellStyle name="Percent 3 5 2 5" xfId="1266"/>
    <cellStyle name="Percent 3 5 2 5 2" xfId="2362"/>
    <cellStyle name="Percent 3 5 2 5 2 2" xfId="4555"/>
    <cellStyle name="Percent 3 5 2 5 3" xfId="3459"/>
    <cellStyle name="Percent 3 5 2 6" xfId="1814"/>
    <cellStyle name="Percent 3 5 2 6 2" xfId="4007"/>
    <cellStyle name="Percent 3 5 2 7" xfId="2911"/>
    <cellStyle name="Percent 3 5 3" xfId="749"/>
    <cellStyle name="Percent 3 5 3 2" xfId="886"/>
    <cellStyle name="Percent 3 5 3 2 2" xfId="1161"/>
    <cellStyle name="Percent 3 5 3 2 2 2" xfId="1713"/>
    <cellStyle name="Percent 3 5 3 2 2 2 2" xfId="2809"/>
    <cellStyle name="Percent 3 5 3 2 2 2 2 2" xfId="5002"/>
    <cellStyle name="Percent 3 5 3 2 2 2 3" xfId="3906"/>
    <cellStyle name="Percent 3 5 3 2 2 3" xfId="2261"/>
    <cellStyle name="Percent 3 5 3 2 2 3 2" xfId="4454"/>
    <cellStyle name="Percent 3 5 3 2 2 4" xfId="3358"/>
    <cellStyle name="Percent 3 5 3 2 3" xfId="1439"/>
    <cellStyle name="Percent 3 5 3 2 3 2" xfId="2535"/>
    <cellStyle name="Percent 3 5 3 2 3 2 2" xfId="4728"/>
    <cellStyle name="Percent 3 5 3 2 3 3" xfId="3632"/>
    <cellStyle name="Percent 3 5 3 2 4" xfId="1987"/>
    <cellStyle name="Percent 3 5 3 2 4 2" xfId="4180"/>
    <cellStyle name="Percent 3 5 3 2 5" xfId="3084"/>
    <cellStyle name="Percent 3 5 3 3" xfId="1024"/>
    <cellStyle name="Percent 3 5 3 3 2" xfId="1576"/>
    <cellStyle name="Percent 3 5 3 3 2 2" xfId="2672"/>
    <cellStyle name="Percent 3 5 3 3 2 2 2" xfId="4865"/>
    <cellStyle name="Percent 3 5 3 3 2 3" xfId="3769"/>
    <cellStyle name="Percent 3 5 3 3 3" xfId="2124"/>
    <cellStyle name="Percent 3 5 3 3 3 2" xfId="4317"/>
    <cellStyle name="Percent 3 5 3 3 4" xfId="3221"/>
    <cellStyle name="Percent 3 5 3 4" xfId="1302"/>
    <cellStyle name="Percent 3 5 3 4 2" xfId="2398"/>
    <cellStyle name="Percent 3 5 3 4 2 2" xfId="4591"/>
    <cellStyle name="Percent 3 5 3 4 3" xfId="3495"/>
    <cellStyle name="Percent 3 5 3 5" xfId="1850"/>
    <cellStyle name="Percent 3 5 3 5 2" xfId="4043"/>
    <cellStyle name="Percent 3 5 3 6" xfId="2947"/>
    <cellStyle name="Percent 3 5 4" xfId="818"/>
    <cellStyle name="Percent 3 5 4 2" xfId="1093"/>
    <cellStyle name="Percent 3 5 4 2 2" xfId="1645"/>
    <cellStyle name="Percent 3 5 4 2 2 2" xfId="2741"/>
    <cellStyle name="Percent 3 5 4 2 2 2 2" xfId="4934"/>
    <cellStyle name="Percent 3 5 4 2 2 3" xfId="3838"/>
    <cellStyle name="Percent 3 5 4 2 3" xfId="2193"/>
    <cellStyle name="Percent 3 5 4 2 3 2" xfId="4386"/>
    <cellStyle name="Percent 3 5 4 2 4" xfId="3290"/>
    <cellStyle name="Percent 3 5 4 3" xfId="1371"/>
    <cellStyle name="Percent 3 5 4 3 2" xfId="2467"/>
    <cellStyle name="Percent 3 5 4 3 2 2" xfId="4660"/>
    <cellStyle name="Percent 3 5 4 3 3" xfId="3564"/>
    <cellStyle name="Percent 3 5 4 4" xfId="1919"/>
    <cellStyle name="Percent 3 5 4 4 2" xfId="4112"/>
    <cellStyle name="Percent 3 5 4 5" xfId="3016"/>
    <cellStyle name="Percent 3 5 5" xfId="956"/>
    <cellStyle name="Percent 3 5 5 2" xfId="1508"/>
    <cellStyle name="Percent 3 5 5 2 2" xfId="2604"/>
    <cellStyle name="Percent 3 5 5 2 2 2" xfId="4797"/>
    <cellStyle name="Percent 3 5 5 2 3" xfId="3701"/>
    <cellStyle name="Percent 3 5 5 3" xfId="2056"/>
    <cellStyle name="Percent 3 5 5 3 2" xfId="4249"/>
    <cellStyle name="Percent 3 5 5 4" xfId="3153"/>
    <cellStyle name="Percent 3 5 6" xfId="1234"/>
    <cellStyle name="Percent 3 5 6 2" xfId="2330"/>
    <cellStyle name="Percent 3 5 6 2 2" xfId="4523"/>
    <cellStyle name="Percent 3 5 6 3" xfId="3427"/>
    <cellStyle name="Percent 3 5 7" xfId="1782"/>
    <cellStyle name="Percent 3 5 7 2" xfId="3975"/>
    <cellStyle name="Percent 3 5 8" xfId="2879"/>
    <cellStyle name="Percent 3 6" xfId="695"/>
    <cellStyle name="Percent 3 6 2" xfId="765"/>
    <cellStyle name="Percent 3 6 2 2" xfId="902"/>
    <cellStyle name="Percent 3 6 2 2 2" xfId="1177"/>
    <cellStyle name="Percent 3 6 2 2 2 2" xfId="1729"/>
    <cellStyle name="Percent 3 6 2 2 2 2 2" xfId="2825"/>
    <cellStyle name="Percent 3 6 2 2 2 2 2 2" xfId="5018"/>
    <cellStyle name="Percent 3 6 2 2 2 2 3" xfId="3922"/>
    <cellStyle name="Percent 3 6 2 2 2 3" xfId="2277"/>
    <cellStyle name="Percent 3 6 2 2 2 3 2" xfId="4470"/>
    <cellStyle name="Percent 3 6 2 2 2 4" xfId="3374"/>
    <cellStyle name="Percent 3 6 2 2 3" xfId="1455"/>
    <cellStyle name="Percent 3 6 2 2 3 2" xfId="2551"/>
    <cellStyle name="Percent 3 6 2 2 3 2 2" xfId="4744"/>
    <cellStyle name="Percent 3 6 2 2 3 3" xfId="3648"/>
    <cellStyle name="Percent 3 6 2 2 4" xfId="2003"/>
    <cellStyle name="Percent 3 6 2 2 4 2" xfId="4196"/>
    <cellStyle name="Percent 3 6 2 2 5" xfId="3100"/>
    <cellStyle name="Percent 3 6 2 3" xfId="1040"/>
    <cellStyle name="Percent 3 6 2 3 2" xfId="1592"/>
    <cellStyle name="Percent 3 6 2 3 2 2" xfId="2688"/>
    <cellStyle name="Percent 3 6 2 3 2 2 2" xfId="4881"/>
    <cellStyle name="Percent 3 6 2 3 2 3" xfId="3785"/>
    <cellStyle name="Percent 3 6 2 3 3" xfId="2140"/>
    <cellStyle name="Percent 3 6 2 3 3 2" xfId="4333"/>
    <cellStyle name="Percent 3 6 2 3 4" xfId="3237"/>
    <cellStyle name="Percent 3 6 2 4" xfId="1318"/>
    <cellStyle name="Percent 3 6 2 4 2" xfId="2414"/>
    <cellStyle name="Percent 3 6 2 4 2 2" xfId="4607"/>
    <cellStyle name="Percent 3 6 2 4 3" xfId="3511"/>
    <cellStyle name="Percent 3 6 2 5" xfId="1866"/>
    <cellStyle name="Percent 3 6 2 5 2" xfId="4059"/>
    <cellStyle name="Percent 3 6 2 6" xfId="2963"/>
    <cellStyle name="Percent 3 6 3" xfId="834"/>
    <cellStyle name="Percent 3 6 3 2" xfId="1109"/>
    <cellStyle name="Percent 3 6 3 2 2" xfId="1661"/>
    <cellStyle name="Percent 3 6 3 2 2 2" xfId="2757"/>
    <cellStyle name="Percent 3 6 3 2 2 2 2" xfId="4950"/>
    <cellStyle name="Percent 3 6 3 2 2 3" xfId="3854"/>
    <cellStyle name="Percent 3 6 3 2 3" xfId="2209"/>
    <cellStyle name="Percent 3 6 3 2 3 2" xfId="4402"/>
    <cellStyle name="Percent 3 6 3 2 4" xfId="3306"/>
    <cellStyle name="Percent 3 6 3 3" xfId="1387"/>
    <cellStyle name="Percent 3 6 3 3 2" xfId="2483"/>
    <cellStyle name="Percent 3 6 3 3 2 2" xfId="4676"/>
    <cellStyle name="Percent 3 6 3 3 3" xfId="3580"/>
    <cellStyle name="Percent 3 6 3 4" xfId="1935"/>
    <cellStyle name="Percent 3 6 3 4 2" xfId="4128"/>
    <cellStyle name="Percent 3 6 3 5" xfId="3032"/>
    <cellStyle name="Percent 3 6 4" xfId="972"/>
    <cellStyle name="Percent 3 6 4 2" xfId="1524"/>
    <cellStyle name="Percent 3 6 4 2 2" xfId="2620"/>
    <cellStyle name="Percent 3 6 4 2 2 2" xfId="4813"/>
    <cellStyle name="Percent 3 6 4 2 3" xfId="3717"/>
    <cellStyle name="Percent 3 6 4 3" xfId="2072"/>
    <cellStyle name="Percent 3 6 4 3 2" xfId="4265"/>
    <cellStyle name="Percent 3 6 4 4" xfId="3169"/>
    <cellStyle name="Percent 3 6 5" xfId="1250"/>
    <cellStyle name="Percent 3 6 5 2" xfId="2346"/>
    <cellStyle name="Percent 3 6 5 2 2" xfId="4539"/>
    <cellStyle name="Percent 3 6 5 3" xfId="3443"/>
    <cellStyle name="Percent 3 6 6" xfId="1798"/>
    <cellStyle name="Percent 3 6 6 2" xfId="3991"/>
    <cellStyle name="Percent 3 6 7" xfId="2895"/>
    <cellStyle name="Percent 3 7" xfId="733"/>
    <cellStyle name="Percent 3 7 2" xfId="870"/>
    <cellStyle name="Percent 3 7 2 2" xfId="1145"/>
    <cellStyle name="Percent 3 7 2 2 2" xfId="1697"/>
    <cellStyle name="Percent 3 7 2 2 2 2" xfId="2793"/>
    <cellStyle name="Percent 3 7 2 2 2 2 2" xfId="4986"/>
    <cellStyle name="Percent 3 7 2 2 2 3" xfId="3890"/>
    <cellStyle name="Percent 3 7 2 2 3" xfId="2245"/>
    <cellStyle name="Percent 3 7 2 2 3 2" xfId="4438"/>
    <cellStyle name="Percent 3 7 2 2 4" xfId="3342"/>
    <cellStyle name="Percent 3 7 2 3" xfId="1423"/>
    <cellStyle name="Percent 3 7 2 3 2" xfId="2519"/>
    <cellStyle name="Percent 3 7 2 3 2 2" xfId="4712"/>
    <cellStyle name="Percent 3 7 2 3 3" xfId="3616"/>
    <cellStyle name="Percent 3 7 2 4" xfId="1971"/>
    <cellStyle name="Percent 3 7 2 4 2" xfId="4164"/>
    <cellStyle name="Percent 3 7 2 5" xfId="3068"/>
    <cellStyle name="Percent 3 7 3" xfId="1008"/>
    <cellStyle name="Percent 3 7 3 2" xfId="1560"/>
    <cellStyle name="Percent 3 7 3 2 2" xfId="2656"/>
    <cellStyle name="Percent 3 7 3 2 2 2" xfId="4849"/>
    <cellStyle name="Percent 3 7 3 2 3" xfId="3753"/>
    <cellStyle name="Percent 3 7 3 3" xfId="2108"/>
    <cellStyle name="Percent 3 7 3 3 2" xfId="4301"/>
    <cellStyle name="Percent 3 7 3 4" xfId="3205"/>
    <cellStyle name="Percent 3 7 4" xfId="1286"/>
    <cellStyle name="Percent 3 7 4 2" xfId="2382"/>
    <cellStyle name="Percent 3 7 4 2 2" xfId="4575"/>
    <cellStyle name="Percent 3 7 4 3" xfId="3479"/>
    <cellStyle name="Percent 3 7 5" xfId="1834"/>
    <cellStyle name="Percent 3 7 5 2" xfId="4027"/>
    <cellStyle name="Percent 3 7 6" xfId="2931"/>
    <cellStyle name="Percent 3 8" xfId="801"/>
    <cellStyle name="Percent 3 8 2" xfId="1076"/>
    <cellStyle name="Percent 3 8 2 2" xfId="1628"/>
    <cellStyle name="Percent 3 8 2 2 2" xfId="2724"/>
    <cellStyle name="Percent 3 8 2 2 2 2" xfId="4917"/>
    <cellStyle name="Percent 3 8 2 2 3" xfId="3821"/>
    <cellStyle name="Percent 3 8 2 3" xfId="2176"/>
    <cellStyle name="Percent 3 8 2 3 2" xfId="4369"/>
    <cellStyle name="Percent 3 8 2 4" xfId="3273"/>
    <cellStyle name="Percent 3 8 3" xfId="1354"/>
    <cellStyle name="Percent 3 8 3 2" xfId="2450"/>
    <cellStyle name="Percent 3 8 3 2 2" xfId="4643"/>
    <cellStyle name="Percent 3 8 3 3" xfId="3547"/>
    <cellStyle name="Percent 3 8 4" xfId="1902"/>
    <cellStyle name="Percent 3 8 4 2" xfId="4095"/>
    <cellStyle name="Percent 3 8 5" xfId="2999"/>
    <cellStyle name="Percent 3 9" xfId="939"/>
    <cellStyle name="Percent 3 9 2" xfId="1491"/>
    <cellStyle name="Percent 3 9 2 2" xfId="2587"/>
    <cellStyle name="Percent 3 9 2 2 2" xfId="4780"/>
    <cellStyle name="Percent 3 9 2 3" xfId="3684"/>
    <cellStyle name="Percent 3 9 3" xfId="2039"/>
    <cellStyle name="Percent 3 9 3 2" xfId="4232"/>
    <cellStyle name="Percent 3 9 4" xfId="3136"/>
    <cellStyle name="Percent 4" xfId="441"/>
    <cellStyle name="Percent 5" xfId="660"/>
    <cellStyle name="Percent 6" xfId="672"/>
    <cellStyle name="Percent 7" xfId="692"/>
    <cellStyle name="Percent 8" xfId="730"/>
    <cellStyle name="Percent 8 2" xfId="798"/>
    <cellStyle name="Percent 8 2 2" xfId="935"/>
    <cellStyle name="Percent 8 2 2 2" xfId="1210"/>
    <cellStyle name="Percent 8 2 2 2 2" xfId="1762"/>
    <cellStyle name="Percent 8 2 2 2 2 2" xfId="2858"/>
    <cellStyle name="Percent 8 2 2 2 2 2 2" xfId="5051"/>
    <cellStyle name="Percent 8 2 2 2 2 3" xfId="3955"/>
    <cellStyle name="Percent 8 2 2 2 3" xfId="2310"/>
    <cellStyle name="Percent 8 2 2 2 3 2" xfId="4503"/>
    <cellStyle name="Percent 8 2 2 2 4" xfId="3407"/>
    <cellStyle name="Percent 8 2 2 3" xfId="1488"/>
    <cellStyle name="Percent 8 2 2 3 2" xfId="2584"/>
    <cellStyle name="Percent 8 2 2 3 2 2" xfId="4777"/>
    <cellStyle name="Percent 8 2 2 3 3" xfId="3681"/>
    <cellStyle name="Percent 8 2 2 4" xfId="2036"/>
    <cellStyle name="Percent 8 2 2 4 2" xfId="4229"/>
    <cellStyle name="Percent 8 2 2 5" xfId="3133"/>
    <cellStyle name="Percent 8 2 3" xfId="1073"/>
    <cellStyle name="Percent 8 2 3 2" xfId="1625"/>
    <cellStyle name="Percent 8 2 3 2 2" xfId="2721"/>
    <cellStyle name="Percent 8 2 3 2 2 2" xfId="4914"/>
    <cellStyle name="Percent 8 2 3 2 3" xfId="3818"/>
    <cellStyle name="Percent 8 2 3 3" xfId="2173"/>
    <cellStyle name="Percent 8 2 3 3 2" xfId="4366"/>
    <cellStyle name="Percent 8 2 3 4" xfId="3270"/>
    <cellStyle name="Percent 8 2 4" xfId="1351"/>
    <cellStyle name="Percent 8 2 4 2" xfId="2447"/>
    <cellStyle name="Percent 8 2 4 2 2" xfId="4640"/>
    <cellStyle name="Percent 8 2 4 3" xfId="3544"/>
    <cellStyle name="Percent 8 2 5" xfId="1899"/>
    <cellStyle name="Percent 8 2 5 2" xfId="4092"/>
    <cellStyle name="Percent 8 2 6" xfId="2996"/>
    <cellStyle name="Percent 8 3" xfId="867"/>
    <cellStyle name="Percent 8 3 2" xfId="1142"/>
    <cellStyle name="Percent 8 3 2 2" xfId="1694"/>
    <cellStyle name="Percent 8 3 2 2 2" xfId="2790"/>
    <cellStyle name="Percent 8 3 2 2 2 2" xfId="4983"/>
    <cellStyle name="Percent 8 3 2 2 3" xfId="3887"/>
    <cellStyle name="Percent 8 3 2 3" xfId="2242"/>
    <cellStyle name="Percent 8 3 2 3 2" xfId="4435"/>
    <cellStyle name="Percent 8 3 2 4" xfId="3339"/>
    <cellStyle name="Percent 8 3 3" xfId="1420"/>
    <cellStyle name="Percent 8 3 3 2" xfId="2516"/>
    <cellStyle name="Percent 8 3 3 2 2" xfId="4709"/>
    <cellStyle name="Percent 8 3 3 3" xfId="3613"/>
    <cellStyle name="Percent 8 3 4" xfId="1968"/>
    <cellStyle name="Percent 8 3 4 2" xfId="4161"/>
    <cellStyle name="Percent 8 3 5" xfId="3065"/>
    <cellStyle name="Percent 8 4" xfId="1005"/>
    <cellStyle name="Percent 8 4 2" xfId="1557"/>
    <cellStyle name="Percent 8 4 2 2" xfId="2653"/>
    <cellStyle name="Percent 8 4 2 2 2" xfId="4846"/>
    <cellStyle name="Percent 8 4 2 3" xfId="3750"/>
    <cellStyle name="Percent 8 4 3" xfId="2105"/>
    <cellStyle name="Percent 8 4 3 2" xfId="4298"/>
    <cellStyle name="Percent 8 4 4" xfId="3202"/>
    <cellStyle name="Percent 8 5" xfId="1283"/>
    <cellStyle name="Percent 8 5 2" xfId="2379"/>
    <cellStyle name="Percent 8 5 2 2" xfId="4572"/>
    <cellStyle name="Percent 8 5 3" xfId="3476"/>
    <cellStyle name="Percent 8 6" xfId="1831"/>
    <cellStyle name="Percent 8 6 2" xfId="4024"/>
    <cellStyle name="Percent 8 7" xfId="2928"/>
    <cellStyle name="Title 2" xfId="227"/>
  </cellStyles>
  <dxfs count="75">
    <dxf>
      <font>
        <color theme="0"/>
      </font>
    </dxf>
    <dxf>
      <font>
        <color theme="0"/>
      </font>
    </dxf>
    <dxf>
      <font>
        <color theme="0"/>
      </font>
      <fill>
        <patternFill>
          <bgColor theme="0"/>
        </patternFill>
      </fill>
      <border>
        <left/>
        <right/>
        <top/>
        <bottom/>
      </border>
    </dxf>
    <dxf>
      <font>
        <color theme="0"/>
      </font>
    </dxf>
    <dxf>
      <font>
        <color theme="0"/>
      </font>
    </dxf>
    <dxf>
      <font>
        <color theme="0"/>
      </font>
      <fill>
        <patternFill>
          <bgColor theme="0"/>
        </patternFill>
      </fill>
      <border>
        <left/>
        <right/>
        <top/>
        <bottom/>
      </border>
    </dxf>
    <dxf>
      <font>
        <color theme="0"/>
      </font>
    </dxf>
    <dxf>
      <font>
        <color theme="0"/>
      </font>
    </dxf>
    <dxf>
      <font>
        <color theme="0" tint="-0.14996795556505021"/>
      </font>
    </dxf>
    <dxf>
      <font>
        <color theme="0"/>
      </font>
    </dxf>
    <dxf>
      <font>
        <color theme="0"/>
      </font>
    </dxf>
    <dxf>
      <font>
        <color theme="0" tint="-0.14996795556505021"/>
      </font>
      <fill>
        <patternFill>
          <bgColor theme="0" tint="-0.14996795556505021"/>
        </patternFill>
      </fill>
    </dxf>
    <dxf>
      <font>
        <color theme="0"/>
      </font>
    </dxf>
    <dxf>
      <font>
        <color theme="0" tint="-0.14996795556505021"/>
      </font>
      <fill>
        <patternFill>
          <bgColor theme="0" tint="-0.14996795556505021"/>
        </patternFill>
      </fill>
    </dxf>
    <dxf>
      <font>
        <color theme="0"/>
      </font>
    </dxf>
    <dxf>
      <font>
        <color theme="0" tint="-0.14996795556505021"/>
      </font>
      <fill>
        <patternFill>
          <bgColor theme="0" tint="-0.14996795556505021"/>
        </patternFill>
      </fill>
    </dxf>
    <dxf>
      <font>
        <color theme="6" tint="-0.24994659260841701"/>
      </font>
    </dxf>
    <dxf>
      <font>
        <color theme="0"/>
      </font>
    </dxf>
    <dxf>
      <font>
        <color theme="0"/>
      </font>
    </dxf>
    <dxf>
      <font>
        <b/>
        <i val="0"/>
        <color rgb="FFFF0000"/>
      </font>
    </dxf>
    <dxf>
      <font>
        <color theme="0"/>
      </font>
    </dxf>
    <dxf>
      <font>
        <b/>
        <i val="0"/>
        <color rgb="FFFF0000"/>
      </font>
    </dxf>
    <dxf>
      <font>
        <color theme="0"/>
      </font>
    </dxf>
    <dxf>
      <font>
        <color rgb="FF2495CE"/>
      </font>
    </dxf>
    <dxf>
      <font>
        <color rgb="FF4C8933"/>
      </font>
    </dxf>
    <dxf>
      <font>
        <color theme="4" tint="-0.24994659260841701"/>
      </font>
    </dxf>
    <dxf>
      <font>
        <color rgb="FF2495CE"/>
      </font>
    </dxf>
    <dxf>
      <font>
        <color rgb="FF4C8933"/>
      </font>
    </dxf>
    <dxf>
      <font>
        <color theme="4" tint="-0.24994659260841701"/>
      </font>
    </dxf>
    <dxf>
      <font>
        <color rgb="FF2495CE"/>
      </font>
    </dxf>
    <dxf>
      <font>
        <color rgb="FF4C8933"/>
      </font>
    </dxf>
    <dxf>
      <font>
        <color theme="4" tint="-0.24994659260841701"/>
      </font>
    </dxf>
    <dxf>
      <font>
        <color rgb="FF2495CE"/>
      </font>
    </dxf>
    <dxf>
      <font>
        <color rgb="FF4C8933"/>
      </font>
    </dxf>
    <dxf>
      <font>
        <color theme="4" tint="-0.24994659260841701"/>
      </font>
    </dxf>
    <dxf>
      <font>
        <color rgb="FF2495CE"/>
      </font>
    </dxf>
    <dxf>
      <font>
        <color rgb="FF4C8933"/>
      </font>
    </dxf>
    <dxf>
      <font>
        <color theme="4" tint="-0.24994659260841701"/>
      </font>
    </dxf>
    <dxf>
      <font>
        <color theme="0" tint="-0.14996795556505021"/>
      </font>
    </dxf>
    <dxf>
      <font>
        <color theme="0" tint="-0.14996795556505021"/>
      </font>
      <fill>
        <patternFill patternType="solid">
          <bgColor theme="0" tint="-0.14996795556505021"/>
        </patternFill>
      </fill>
    </dxf>
    <dxf>
      <font>
        <color theme="0" tint="-0.14996795556505021"/>
      </font>
    </dxf>
    <dxf>
      <font>
        <color theme="0" tint="-0.14996795556505021"/>
      </font>
    </dxf>
    <dxf>
      <font>
        <color theme="0" tint="-0.14996795556505021"/>
      </font>
      <fill>
        <patternFill>
          <bgColor theme="0" tint="-0.14996795556505021"/>
        </patternFill>
      </fill>
      <border>
        <left/>
        <right/>
        <top/>
        <bottom/>
        <vertical/>
        <horizontal/>
      </border>
    </dxf>
    <dxf>
      <font>
        <color theme="0" tint="-0.14996795556505021"/>
      </font>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dxf>
    <dxf>
      <font>
        <color theme="1"/>
      </font>
      <fill>
        <patternFill>
          <bgColor theme="3" tint="0.59996337778862885"/>
        </patternFill>
      </fill>
    </dxf>
    <dxf>
      <font>
        <color theme="1"/>
      </font>
      <fill>
        <patternFill>
          <bgColor theme="6" tint="0.39994506668294322"/>
        </patternFill>
      </fill>
    </dxf>
    <dxf>
      <font>
        <color theme="1"/>
      </font>
      <fill>
        <patternFill>
          <bgColor theme="4" tint="0.39994506668294322"/>
        </patternFill>
      </fill>
    </dxf>
    <dxf>
      <font>
        <color theme="1"/>
      </font>
      <fill>
        <patternFill>
          <bgColor theme="3" tint="0.59996337778862885"/>
        </patternFill>
      </fill>
    </dxf>
    <dxf>
      <font>
        <color theme="1"/>
      </font>
      <fill>
        <patternFill>
          <bgColor theme="6" tint="0.39994506668294322"/>
        </patternFill>
      </fill>
    </dxf>
    <dxf>
      <font>
        <color theme="1"/>
      </font>
      <fill>
        <patternFill>
          <bgColor theme="4" tint="0.39994506668294322"/>
        </patternFill>
      </fill>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font>
      <border>
        <left/>
        <right/>
        <top/>
        <bottom/>
        <vertical/>
        <horizontal/>
      </border>
    </dxf>
    <dxf>
      <font>
        <color theme="0"/>
      </font>
    </dxf>
    <dxf>
      <font>
        <color theme="0"/>
      </font>
    </dxf>
    <dxf>
      <font>
        <color theme="0"/>
      </font>
    </dxf>
    <dxf>
      <font>
        <color theme="4" tint="0.79998168889431442"/>
      </font>
      <fill>
        <patternFill>
          <bgColor theme="4" tint="0.79998168889431442"/>
        </patternFill>
      </fill>
      <border>
        <left/>
        <right/>
        <top/>
        <bottom/>
        <vertical/>
        <horizontal/>
      </border>
    </dxf>
    <dxf>
      <font>
        <color theme="1"/>
      </font>
      <fill>
        <patternFill patternType="solid">
          <bgColor theme="4" tint="0.79998168889431442"/>
        </patternFill>
      </fill>
    </dxf>
    <dxf>
      <font>
        <color theme="4" tint="0.79998168889431442"/>
      </font>
      <fill>
        <patternFill>
          <bgColor theme="4" tint="0.79998168889431442"/>
        </patternFill>
      </fill>
      <border>
        <left/>
        <right/>
        <top/>
        <bottom/>
        <vertical/>
        <horizontal/>
      </border>
    </dxf>
    <dxf>
      <font>
        <color theme="1"/>
      </font>
      <fill>
        <patternFill patternType="solid">
          <bgColor theme="4" tint="0.79998168889431442"/>
        </patternFill>
      </fill>
    </dxf>
    <dxf>
      <font>
        <color theme="4" tint="0.79998168889431442"/>
      </font>
      <fill>
        <patternFill>
          <bgColor theme="4" tint="0.79998168889431442"/>
        </patternFill>
      </fill>
      <border>
        <left/>
        <right/>
        <top/>
        <bottom/>
        <vertical/>
        <horizontal/>
      </border>
    </dxf>
    <dxf>
      <font>
        <color theme="1"/>
      </font>
      <fill>
        <patternFill patternType="solid">
          <bgColor theme="4" tint="0.79998168889431442"/>
        </patternFill>
      </fill>
    </dxf>
  </dxfs>
  <tableStyles count="0" defaultTableStyle="TableStyleMedium9" defaultPivotStyle="PivotStyleMedium4"/>
  <colors>
    <mruColors>
      <color rgb="FF2F7EDD"/>
      <color rgb="FFFFFFCC"/>
      <color rgb="FF9AB5E4"/>
      <color rgb="FF336699"/>
      <color rgb="FF2495CE"/>
      <color rgb="FF4C8933"/>
      <color rgb="FF009A46"/>
      <color rgb="FF4C9329"/>
      <color rgb="FFFFFFFF"/>
      <color rgb="FFFF99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dk1"/>
                </a:solidFill>
                <a:latin typeface="+mn-lt"/>
                <a:ea typeface="+mn-ea"/>
                <a:cs typeface="+mn-cs"/>
              </a:defRPr>
            </a:pPr>
            <a:r>
              <a:rPr lang="en-US" sz="1300">
                <a:solidFill>
                  <a:schemeClr val="dk1"/>
                </a:solidFill>
                <a:latin typeface="+mn-lt"/>
                <a:ea typeface="+mn-ea"/>
                <a:cs typeface="+mn-cs"/>
              </a:rPr>
              <a:t>Estimated Age Pension over time</a:t>
            </a:r>
            <a:endParaRPr lang="en-US" sz="1300"/>
          </a:p>
        </c:rich>
      </c:tx>
      <c:layout>
        <c:manualLayout>
          <c:xMode val="edge"/>
          <c:yMode val="edge"/>
          <c:x val="0.41560377804242044"/>
          <c:y val="5.1891245181161547E-2"/>
        </c:manualLayout>
      </c:layout>
      <c:overlay val="0"/>
      <c:spPr>
        <a:solidFill>
          <a:schemeClr val="lt1"/>
        </a:solidFill>
        <a:ln w="3175" cap="flat" cmpd="sng" algn="ctr">
          <a:solidFill>
            <a:schemeClr val="dk1"/>
          </a:solidFill>
          <a:prstDash val="solid"/>
        </a:ln>
        <a:effectLst/>
      </c:spPr>
    </c:title>
    <c:autoTitleDeleted val="0"/>
    <c:plotArea>
      <c:layout>
        <c:manualLayout>
          <c:layoutTarget val="inner"/>
          <c:xMode val="edge"/>
          <c:yMode val="edge"/>
          <c:x val="9.6691485498901844E-2"/>
          <c:y val="7.2136040466206086E-2"/>
          <c:w val="0.88196818406108302"/>
          <c:h val="0.74694033375698166"/>
        </c:manualLayout>
      </c:layout>
      <c:lineChart>
        <c:grouping val="standard"/>
        <c:varyColors val="0"/>
        <c:ser>
          <c:idx val="0"/>
          <c:order val="0"/>
          <c:tx>
            <c:strRef>
              <c:f>'Age Pension additional calcs'!$C$13</c:f>
              <c:strCache>
                <c:ptCount val="1"/>
                <c:pt idx="0">
                  <c:v>New (Liquid Lifetime regular income) Portfolio</c:v>
                </c:pt>
              </c:strCache>
            </c:strRef>
          </c:tx>
          <c:spPr>
            <a:ln w="38100">
              <a:solidFill>
                <a:schemeClr val="accent3"/>
              </a:solidFill>
            </a:ln>
          </c:spPr>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calcs'!$C$14:$C$28</c:f>
              <c:numCache>
                <c:formatCode>"$"#,##0</c:formatCode>
                <c:ptCount val="15"/>
                <c:pt idx="0">
                  <c:v>2308.3619178082195</c:v>
                </c:pt>
                <c:pt idx="1">
                  <c:v>1910.5560975609756</c:v>
                </c:pt>
                <c:pt idx="2">
                  <c:v>6470.8400951814401</c:v>
                </c:pt>
                <c:pt idx="3">
                  <c:v>11411.043995298969</c:v>
                </c:pt>
                <c:pt idx="4">
                  <c:v>16039.559995413627</c:v>
                </c:pt>
                <c:pt idx="5">
                  <c:v>20356.380483330366</c:v>
                </c:pt>
                <c:pt idx="6">
                  <c:v>24244.498032517433</c:v>
                </c:pt>
                <c:pt idx="7">
                  <c:v>27859.905397577983</c:v>
                </c:pt>
                <c:pt idx="8">
                  <c:v>31202.595509832179</c:v>
                </c:pt>
                <c:pt idx="9">
                  <c:v>33924.685354543428</c:v>
                </c:pt>
                <c:pt idx="10">
                  <c:v>34261.796559031223</c:v>
                </c:pt>
                <c:pt idx="11">
                  <c:v>34251.294203932899</c:v>
                </c:pt>
                <c:pt idx="12">
                  <c:v>34241.048003836971</c:v>
                </c:pt>
                <c:pt idx="13">
                  <c:v>34231.051711060463</c:v>
                </c:pt>
                <c:pt idx="14">
                  <c:v>34221.299230302888</c:v>
                </c:pt>
              </c:numCache>
            </c:numRef>
          </c:val>
          <c:smooth val="0"/>
        </c:ser>
        <c:ser>
          <c:idx val="1"/>
          <c:order val="1"/>
          <c:tx>
            <c:strRef>
              <c:f>'Age Pension additional calcs'!$D$13</c:f>
              <c:strCache>
                <c:ptCount val="1"/>
                <c:pt idx="0">
                  <c:v>Current Portfolio</c:v>
                </c:pt>
              </c:strCache>
            </c:strRef>
          </c:tx>
          <c:spPr>
            <a:ln w="38100">
              <a:solidFill>
                <a:schemeClr val="accent1"/>
              </a:solidFill>
            </a:ln>
          </c:spPr>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calcs'!$D$14:$D$28</c:f>
              <c:numCache>
                <c:formatCode>"$"#,##0</c:formatCode>
                <c:ptCount val="15"/>
                <c:pt idx="0">
                  <c:v>2308.3619178082195</c:v>
                </c:pt>
                <c:pt idx="1">
                  <c:v>1910.5560975609756</c:v>
                </c:pt>
                <c:pt idx="2">
                  <c:v>5534.8400951814401</c:v>
                </c:pt>
                <c:pt idx="3">
                  <c:v>10085.043995298969</c:v>
                </c:pt>
                <c:pt idx="4">
                  <c:v>14362.559995413627</c:v>
                </c:pt>
                <c:pt idx="5">
                  <c:v>18367.380483330366</c:v>
                </c:pt>
                <c:pt idx="6">
                  <c:v>22099.498032517433</c:v>
                </c:pt>
                <c:pt idx="7">
                  <c:v>25597.905397577983</c:v>
                </c:pt>
                <c:pt idx="8">
                  <c:v>28862.595509832179</c:v>
                </c:pt>
                <c:pt idx="9">
                  <c:v>31893.561473007001</c:v>
                </c:pt>
                <c:pt idx="10">
                  <c:v>32832.084506937113</c:v>
                </c:pt>
                <c:pt idx="11">
                  <c:v>33382.352933597183</c:v>
                </c:pt>
                <c:pt idx="12">
                  <c:v>33926.88920350944</c:v>
                </c:pt>
                <c:pt idx="13">
                  <c:v>34231.051711060463</c:v>
                </c:pt>
                <c:pt idx="14">
                  <c:v>34221.299230302888</c:v>
                </c:pt>
              </c:numCache>
            </c:numRef>
          </c:val>
          <c:smooth val="0"/>
        </c:ser>
        <c:ser>
          <c:idx val="2"/>
          <c:order val="2"/>
          <c:tx>
            <c:strRef>
              <c:f>'Age Pension additional calcs'!$E$13</c:f>
              <c:strCache>
                <c:ptCount val="1"/>
                <c:pt idx="0">
                  <c:v>Full Age Pension</c:v>
                </c:pt>
              </c:strCache>
            </c:strRef>
          </c:tx>
          <c:spPr>
            <a:ln w="38100">
              <a:solidFill>
                <a:schemeClr val="tx1"/>
              </a:solidFill>
              <a:prstDash val="dash"/>
            </a:ln>
          </c:spPr>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calcs'!$E$14:$E$28</c:f>
              <c:numCache>
                <c:formatCode>"$"#,##0</c:formatCode>
                <c:ptCount val="15"/>
                <c:pt idx="0">
                  <c:v>34382.400000000001</c:v>
                </c:pt>
                <c:pt idx="1">
                  <c:v>34368.956097560978</c:v>
                </c:pt>
                <c:pt idx="2">
                  <c:v>34355.84009518144</c:v>
                </c:pt>
                <c:pt idx="3">
                  <c:v>34343.043995298969</c:v>
                </c:pt>
                <c:pt idx="4">
                  <c:v>34330.559995413627</c:v>
                </c:pt>
                <c:pt idx="5">
                  <c:v>34318.380483330366</c:v>
                </c:pt>
                <c:pt idx="6">
                  <c:v>34306.498032517433</c:v>
                </c:pt>
                <c:pt idx="7">
                  <c:v>34294.905397577983</c:v>
                </c:pt>
                <c:pt idx="8">
                  <c:v>34283.595509832179</c:v>
                </c:pt>
                <c:pt idx="9">
                  <c:v>34272.561473007001</c:v>
                </c:pt>
                <c:pt idx="10">
                  <c:v>34261.796559031223</c:v>
                </c:pt>
                <c:pt idx="11">
                  <c:v>34251.294203932899</c:v>
                </c:pt>
                <c:pt idx="12">
                  <c:v>34241.048003836971</c:v>
                </c:pt>
                <c:pt idx="13">
                  <c:v>34231.051711060463</c:v>
                </c:pt>
                <c:pt idx="14">
                  <c:v>34221.299230302888</c:v>
                </c:pt>
              </c:numCache>
            </c:numRef>
          </c:val>
          <c:smooth val="0"/>
        </c:ser>
        <c:dLbls>
          <c:showLegendKey val="0"/>
          <c:showVal val="0"/>
          <c:showCatName val="0"/>
          <c:showSerName val="0"/>
          <c:showPercent val="0"/>
          <c:showBubbleSize val="0"/>
        </c:dLbls>
        <c:marker val="1"/>
        <c:smooth val="0"/>
        <c:axId val="141139968"/>
        <c:axId val="141141504"/>
      </c:lineChart>
      <c:catAx>
        <c:axId val="141139968"/>
        <c:scaling>
          <c:orientation val="minMax"/>
        </c:scaling>
        <c:delete val="0"/>
        <c:axPos val="b"/>
        <c:numFmt formatCode="General" sourceLinked="1"/>
        <c:majorTickMark val="out"/>
        <c:minorTickMark val="none"/>
        <c:tickLblPos val="nextTo"/>
        <c:txPr>
          <a:bodyPr/>
          <a:lstStyle/>
          <a:p>
            <a:pPr>
              <a:defRPr sz="1100" b="1"/>
            </a:pPr>
            <a:endParaRPr lang="en-US"/>
          </a:p>
        </c:txPr>
        <c:crossAx val="141141504"/>
        <c:crosses val="autoZero"/>
        <c:auto val="1"/>
        <c:lblAlgn val="ctr"/>
        <c:lblOffset val="100"/>
        <c:noMultiLvlLbl val="0"/>
      </c:catAx>
      <c:valAx>
        <c:axId val="141141504"/>
        <c:scaling>
          <c:orientation val="minMax"/>
          <c:max val="38000"/>
          <c:min val="1000"/>
        </c:scaling>
        <c:delete val="0"/>
        <c:axPos val="l"/>
        <c:majorGridlines/>
        <c:numFmt formatCode="&quot;$&quot;#,##0" sourceLinked="1"/>
        <c:majorTickMark val="out"/>
        <c:minorTickMark val="none"/>
        <c:tickLblPos val="nextTo"/>
        <c:spPr>
          <a:noFill/>
        </c:spPr>
        <c:txPr>
          <a:bodyPr/>
          <a:lstStyle/>
          <a:p>
            <a:pPr>
              <a:defRPr sz="1100" b="1"/>
            </a:pPr>
            <a:endParaRPr lang="en-US"/>
          </a:p>
        </c:txPr>
        <c:crossAx val="141139968"/>
        <c:crosses val="autoZero"/>
        <c:crossBetween val="midCat"/>
      </c:valAx>
      <c:spPr>
        <a:solidFill>
          <a:schemeClr val="bg1">
            <a:lumMod val="95000"/>
          </a:schemeClr>
        </a:solidFill>
        <a:ln>
          <a:solidFill>
            <a:schemeClr val="bg1">
              <a:lumMod val="65000"/>
            </a:schemeClr>
          </a:solidFill>
        </a:ln>
      </c:spPr>
    </c:plotArea>
    <c:legend>
      <c:legendPos val="b"/>
      <c:layout>
        <c:manualLayout>
          <c:xMode val="edge"/>
          <c:yMode val="edge"/>
          <c:x val="0.13423497820009192"/>
          <c:y val="0.89760896771020504"/>
          <c:w val="0.81823434600890532"/>
          <c:h val="6.0670749489647124E-2"/>
        </c:manualLayout>
      </c:layout>
      <c:overlay val="0"/>
      <c:spPr>
        <a:solidFill>
          <a:schemeClr val="lt1"/>
        </a:solidFill>
        <a:ln w="25400" cap="flat" cmpd="sng" algn="ctr">
          <a:solidFill>
            <a:schemeClr val="dk1"/>
          </a:solidFill>
          <a:prstDash val="solid"/>
        </a:ln>
        <a:effectLst/>
      </c:spPr>
      <c:txPr>
        <a:bodyPr/>
        <a:lstStyle/>
        <a:p>
          <a:pPr>
            <a:defRPr sz="1200">
              <a:solidFill>
                <a:schemeClr val="dk1"/>
              </a:solidFill>
              <a:latin typeface="+mn-lt"/>
              <a:ea typeface="+mn-ea"/>
              <a:cs typeface="+mn-cs"/>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6.801289838770154E-2"/>
          <c:y val="6.3690583835914708E-2"/>
          <c:w val="0.90925354330708663"/>
          <c:h val="0.90548091849503531"/>
        </c:manualLayout>
      </c:layout>
      <c:pieChart>
        <c:varyColors val="1"/>
        <c:ser>
          <c:idx val="0"/>
          <c:order val="0"/>
          <c:dPt>
            <c:idx val="0"/>
            <c:bubble3D val="0"/>
            <c:spPr>
              <a:solidFill>
                <a:schemeClr val="accent1">
                  <a:lumMod val="50000"/>
                </a:schemeClr>
              </a:solidFill>
            </c:spPr>
          </c:dPt>
          <c:dPt>
            <c:idx val="1"/>
            <c:bubble3D val="0"/>
            <c:spPr>
              <a:solidFill>
                <a:schemeClr val="accent1">
                  <a:lumMod val="40000"/>
                  <a:lumOff val="60000"/>
                </a:schemeClr>
              </a:solidFill>
            </c:spPr>
          </c:dPt>
          <c:val>
            <c:numRef>
              <c:f>'Admin Settings'!$I$72:$J$72</c:f>
              <c:numCache>
                <c:formatCode>0%</c:formatCode>
                <c:ptCount val="2"/>
                <c:pt idx="0">
                  <c:v>0.64485027223230484</c:v>
                </c:pt>
                <c:pt idx="1">
                  <c:v>0.3551497277676951</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'Age Pension additional calcs'!$C$13</c:f>
              <c:strCache>
                <c:ptCount val="1"/>
                <c:pt idx="0">
                  <c:v>New (Liquid Lifetime regular income) Portfolio</c:v>
                </c:pt>
              </c:strCache>
            </c:strRef>
          </c:tx>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calcs'!$C$14:$C$28</c:f>
              <c:numCache>
                <c:formatCode>"$"#,##0</c:formatCode>
                <c:ptCount val="15"/>
                <c:pt idx="0">
                  <c:v>2308.3619178082195</c:v>
                </c:pt>
                <c:pt idx="1">
                  <c:v>1910.5560975609756</c:v>
                </c:pt>
                <c:pt idx="2">
                  <c:v>6470.8400951814401</c:v>
                </c:pt>
                <c:pt idx="3">
                  <c:v>11411.043995298969</c:v>
                </c:pt>
                <c:pt idx="4">
                  <c:v>16039.559995413627</c:v>
                </c:pt>
                <c:pt idx="5">
                  <c:v>20356.380483330366</c:v>
                </c:pt>
                <c:pt idx="6">
                  <c:v>24244.498032517433</c:v>
                </c:pt>
                <c:pt idx="7">
                  <c:v>27859.905397577983</c:v>
                </c:pt>
                <c:pt idx="8">
                  <c:v>31202.595509832179</c:v>
                </c:pt>
                <c:pt idx="9">
                  <c:v>33924.685354543428</c:v>
                </c:pt>
                <c:pt idx="10">
                  <c:v>34261.796559031223</c:v>
                </c:pt>
                <c:pt idx="11">
                  <c:v>34251.294203932899</c:v>
                </c:pt>
                <c:pt idx="12">
                  <c:v>34241.048003836971</c:v>
                </c:pt>
                <c:pt idx="13">
                  <c:v>34231.051711060463</c:v>
                </c:pt>
                <c:pt idx="14">
                  <c:v>34221.299230302888</c:v>
                </c:pt>
              </c:numCache>
            </c:numRef>
          </c:val>
          <c:smooth val="0"/>
        </c:ser>
        <c:ser>
          <c:idx val="1"/>
          <c:order val="1"/>
          <c:tx>
            <c:strRef>
              <c:f>'Age Pension additional calcs'!$D$13</c:f>
              <c:strCache>
                <c:ptCount val="1"/>
                <c:pt idx="0">
                  <c:v>Current Portfolio</c:v>
                </c:pt>
              </c:strCache>
            </c:strRef>
          </c:tx>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calcs'!$D$14:$D$28</c:f>
              <c:numCache>
                <c:formatCode>"$"#,##0</c:formatCode>
                <c:ptCount val="15"/>
                <c:pt idx="0">
                  <c:v>2308.3619178082195</c:v>
                </c:pt>
                <c:pt idx="1">
                  <c:v>1910.5560975609756</c:v>
                </c:pt>
                <c:pt idx="2">
                  <c:v>5534.8400951814401</c:v>
                </c:pt>
                <c:pt idx="3">
                  <c:v>10085.043995298969</c:v>
                </c:pt>
                <c:pt idx="4">
                  <c:v>14362.559995413627</c:v>
                </c:pt>
                <c:pt idx="5">
                  <c:v>18367.380483330366</c:v>
                </c:pt>
                <c:pt idx="6">
                  <c:v>22099.498032517433</c:v>
                </c:pt>
                <c:pt idx="7">
                  <c:v>25597.905397577983</c:v>
                </c:pt>
                <c:pt idx="8">
                  <c:v>28862.595509832179</c:v>
                </c:pt>
                <c:pt idx="9">
                  <c:v>31893.561473007001</c:v>
                </c:pt>
                <c:pt idx="10">
                  <c:v>32832.084506937113</c:v>
                </c:pt>
                <c:pt idx="11">
                  <c:v>33382.352933597183</c:v>
                </c:pt>
                <c:pt idx="12">
                  <c:v>33926.88920350944</c:v>
                </c:pt>
                <c:pt idx="13">
                  <c:v>34231.051711060463</c:v>
                </c:pt>
                <c:pt idx="14">
                  <c:v>34221.299230302888</c:v>
                </c:pt>
              </c:numCache>
            </c:numRef>
          </c:val>
          <c:smooth val="0"/>
        </c:ser>
        <c:ser>
          <c:idx val="2"/>
          <c:order val="2"/>
          <c:tx>
            <c:strRef>
              <c:f>'Age Pension additional calcs'!$E$13</c:f>
              <c:strCache>
                <c:ptCount val="1"/>
                <c:pt idx="0">
                  <c:v>Full Age Pension</c:v>
                </c:pt>
              </c:strCache>
            </c:strRef>
          </c:tx>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calcs'!$E$14:$E$28</c:f>
              <c:numCache>
                <c:formatCode>"$"#,##0</c:formatCode>
                <c:ptCount val="15"/>
                <c:pt idx="0">
                  <c:v>34382.400000000001</c:v>
                </c:pt>
                <c:pt idx="1">
                  <c:v>34368.956097560978</c:v>
                </c:pt>
                <c:pt idx="2">
                  <c:v>34355.84009518144</c:v>
                </c:pt>
                <c:pt idx="3">
                  <c:v>34343.043995298969</c:v>
                </c:pt>
                <c:pt idx="4">
                  <c:v>34330.559995413627</c:v>
                </c:pt>
                <c:pt idx="5">
                  <c:v>34318.380483330366</c:v>
                </c:pt>
                <c:pt idx="6">
                  <c:v>34306.498032517433</c:v>
                </c:pt>
                <c:pt idx="7">
                  <c:v>34294.905397577983</c:v>
                </c:pt>
                <c:pt idx="8">
                  <c:v>34283.595509832179</c:v>
                </c:pt>
                <c:pt idx="9">
                  <c:v>34272.561473007001</c:v>
                </c:pt>
                <c:pt idx="10">
                  <c:v>34261.796559031223</c:v>
                </c:pt>
                <c:pt idx="11">
                  <c:v>34251.294203932899</c:v>
                </c:pt>
                <c:pt idx="12">
                  <c:v>34241.048003836971</c:v>
                </c:pt>
                <c:pt idx="13">
                  <c:v>34231.051711060463</c:v>
                </c:pt>
                <c:pt idx="14">
                  <c:v>34221.299230302888</c:v>
                </c:pt>
              </c:numCache>
            </c:numRef>
          </c:val>
          <c:smooth val="0"/>
        </c:ser>
        <c:dLbls>
          <c:showLegendKey val="0"/>
          <c:showVal val="0"/>
          <c:showCatName val="0"/>
          <c:showSerName val="0"/>
          <c:showPercent val="0"/>
          <c:showBubbleSize val="0"/>
        </c:dLbls>
        <c:marker val="1"/>
        <c:smooth val="0"/>
        <c:axId val="145302272"/>
        <c:axId val="145303808"/>
      </c:lineChart>
      <c:catAx>
        <c:axId val="145302272"/>
        <c:scaling>
          <c:orientation val="minMax"/>
        </c:scaling>
        <c:delete val="0"/>
        <c:axPos val="b"/>
        <c:numFmt formatCode="General" sourceLinked="1"/>
        <c:majorTickMark val="out"/>
        <c:minorTickMark val="none"/>
        <c:tickLblPos val="nextTo"/>
        <c:crossAx val="145303808"/>
        <c:crosses val="autoZero"/>
        <c:auto val="1"/>
        <c:lblAlgn val="ctr"/>
        <c:lblOffset val="100"/>
        <c:noMultiLvlLbl val="0"/>
      </c:catAx>
      <c:valAx>
        <c:axId val="145303808"/>
        <c:scaling>
          <c:orientation val="minMax"/>
        </c:scaling>
        <c:delete val="0"/>
        <c:axPos val="l"/>
        <c:majorGridlines/>
        <c:numFmt formatCode="&quot;$&quot;#,##0" sourceLinked="1"/>
        <c:majorTickMark val="out"/>
        <c:minorTickMark val="none"/>
        <c:tickLblPos val="nextTo"/>
        <c:crossAx val="145302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88741538886586"/>
          <c:y val="0.1694806331026803"/>
          <c:w val="0.86636372427130814"/>
          <c:h val="0.75635669508253622"/>
        </c:manualLayout>
      </c:layout>
      <c:lineChart>
        <c:grouping val="standard"/>
        <c:varyColors val="0"/>
        <c:ser>
          <c:idx val="0"/>
          <c:order val="0"/>
          <c:tx>
            <c:strRef>
              <c:f>'Age Pension additional calcs'!$C$13</c:f>
              <c:strCache>
                <c:ptCount val="1"/>
                <c:pt idx="0">
                  <c:v>New (Liquid Lifetime regular income) Portfolio</c:v>
                </c:pt>
              </c:strCache>
            </c:strRef>
          </c:tx>
          <c:spPr>
            <a:ln w="38100">
              <a:solidFill>
                <a:schemeClr val="accent3"/>
              </a:solidFill>
            </a:ln>
          </c:spPr>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calcs'!$C$14:$C$28</c:f>
              <c:numCache>
                <c:formatCode>"$"#,##0</c:formatCode>
                <c:ptCount val="15"/>
                <c:pt idx="0">
                  <c:v>2308.3619178082195</c:v>
                </c:pt>
                <c:pt idx="1">
                  <c:v>1910.5560975609756</c:v>
                </c:pt>
                <c:pt idx="2">
                  <c:v>6470.8400951814401</c:v>
                </c:pt>
                <c:pt idx="3">
                  <c:v>11411.043995298969</c:v>
                </c:pt>
                <c:pt idx="4">
                  <c:v>16039.559995413627</c:v>
                </c:pt>
                <c:pt idx="5">
                  <c:v>20356.380483330366</c:v>
                </c:pt>
                <c:pt idx="6">
                  <c:v>24244.498032517433</c:v>
                </c:pt>
                <c:pt idx="7">
                  <c:v>27859.905397577983</c:v>
                </c:pt>
                <c:pt idx="8">
                  <c:v>31202.595509832179</c:v>
                </c:pt>
                <c:pt idx="9">
                  <c:v>33924.685354543428</c:v>
                </c:pt>
                <c:pt idx="10">
                  <c:v>34261.796559031223</c:v>
                </c:pt>
                <c:pt idx="11">
                  <c:v>34251.294203932899</c:v>
                </c:pt>
                <c:pt idx="12">
                  <c:v>34241.048003836971</c:v>
                </c:pt>
                <c:pt idx="13">
                  <c:v>34231.051711060463</c:v>
                </c:pt>
                <c:pt idx="14">
                  <c:v>34221.299230302888</c:v>
                </c:pt>
              </c:numCache>
            </c:numRef>
          </c:val>
          <c:smooth val="0"/>
        </c:ser>
        <c:ser>
          <c:idx val="1"/>
          <c:order val="1"/>
          <c:tx>
            <c:strRef>
              <c:f>'Age Pension additional calcs'!$D$13</c:f>
              <c:strCache>
                <c:ptCount val="1"/>
                <c:pt idx="0">
                  <c:v>Current Portfolio</c:v>
                </c:pt>
              </c:strCache>
            </c:strRef>
          </c:tx>
          <c:spPr>
            <a:ln w="38100">
              <a:solidFill>
                <a:schemeClr val="accent1"/>
              </a:solidFill>
            </a:ln>
          </c:spPr>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calcs'!$D$14:$D$28</c:f>
              <c:numCache>
                <c:formatCode>"$"#,##0</c:formatCode>
                <c:ptCount val="15"/>
                <c:pt idx="0">
                  <c:v>2308.3619178082195</c:v>
                </c:pt>
                <c:pt idx="1">
                  <c:v>1910.5560975609756</c:v>
                </c:pt>
                <c:pt idx="2">
                  <c:v>5534.8400951814401</c:v>
                </c:pt>
                <c:pt idx="3">
                  <c:v>10085.043995298969</c:v>
                </c:pt>
                <c:pt idx="4">
                  <c:v>14362.559995413627</c:v>
                </c:pt>
                <c:pt idx="5">
                  <c:v>18367.380483330366</c:v>
                </c:pt>
                <c:pt idx="6">
                  <c:v>22099.498032517433</c:v>
                </c:pt>
                <c:pt idx="7">
                  <c:v>25597.905397577983</c:v>
                </c:pt>
                <c:pt idx="8">
                  <c:v>28862.595509832179</c:v>
                </c:pt>
                <c:pt idx="9">
                  <c:v>31893.561473007001</c:v>
                </c:pt>
                <c:pt idx="10">
                  <c:v>32832.084506937113</c:v>
                </c:pt>
                <c:pt idx="11">
                  <c:v>33382.352933597183</c:v>
                </c:pt>
                <c:pt idx="12">
                  <c:v>33926.88920350944</c:v>
                </c:pt>
                <c:pt idx="13">
                  <c:v>34231.051711060463</c:v>
                </c:pt>
                <c:pt idx="14">
                  <c:v>34221.299230302888</c:v>
                </c:pt>
              </c:numCache>
            </c:numRef>
          </c:val>
          <c:smooth val="0"/>
        </c:ser>
        <c:ser>
          <c:idx val="2"/>
          <c:order val="2"/>
          <c:tx>
            <c:strRef>
              <c:f>'Age Pension additional calcs'!$E$13</c:f>
              <c:strCache>
                <c:ptCount val="1"/>
                <c:pt idx="0">
                  <c:v>Full Age Pension</c:v>
                </c:pt>
              </c:strCache>
            </c:strRef>
          </c:tx>
          <c:spPr>
            <a:ln w="38100">
              <a:solidFill>
                <a:schemeClr val="tx1"/>
              </a:solidFill>
              <a:prstDash val="dash"/>
            </a:ln>
          </c:spPr>
          <c:marker>
            <c:symbol val="none"/>
          </c:marker>
          <c:cat>
            <c:numRef>
              <c:f>'Age Pension additional calcs'!$B$14:$B$28</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'Age Pension additional calcs'!$E$14:$E$28</c:f>
              <c:numCache>
                <c:formatCode>"$"#,##0</c:formatCode>
                <c:ptCount val="15"/>
                <c:pt idx="0">
                  <c:v>34382.400000000001</c:v>
                </c:pt>
                <c:pt idx="1">
                  <c:v>34368.956097560978</c:v>
                </c:pt>
                <c:pt idx="2">
                  <c:v>34355.84009518144</c:v>
                </c:pt>
                <c:pt idx="3">
                  <c:v>34343.043995298969</c:v>
                </c:pt>
                <c:pt idx="4">
                  <c:v>34330.559995413627</c:v>
                </c:pt>
                <c:pt idx="5">
                  <c:v>34318.380483330366</c:v>
                </c:pt>
                <c:pt idx="6">
                  <c:v>34306.498032517433</c:v>
                </c:pt>
                <c:pt idx="7">
                  <c:v>34294.905397577983</c:v>
                </c:pt>
                <c:pt idx="8">
                  <c:v>34283.595509832179</c:v>
                </c:pt>
                <c:pt idx="9">
                  <c:v>34272.561473007001</c:v>
                </c:pt>
                <c:pt idx="10">
                  <c:v>34261.796559031223</c:v>
                </c:pt>
                <c:pt idx="11">
                  <c:v>34251.294203932899</c:v>
                </c:pt>
                <c:pt idx="12">
                  <c:v>34241.048003836971</c:v>
                </c:pt>
                <c:pt idx="13">
                  <c:v>34231.051711060463</c:v>
                </c:pt>
                <c:pt idx="14">
                  <c:v>34221.299230302888</c:v>
                </c:pt>
              </c:numCache>
            </c:numRef>
          </c:val>
          <c:smooth val="0"/>
        </c:ser>
        <c:dLbls>
          <c:showLegendKey val="0"/>
          <c:showVal val="0"/>
          <c:showCatName val="0"/>
          <c:showSerName val="0"/>
          <c:showPercent val="0"/>
          <c:showBubbleSize val="0"/>
        </c:dLbls>
        <c:marker val="1"/>
        <c:smooth val="0"/>
        <c:axId val="141477760"/>
        <c:axId val="141479296"/>
      </c:lineChart>
      <c:catAx>
        <c:axId val="141477760"/>
        <c:scaling>
          <c:orientation val="minMax"/>
        </c:scaling>
        <c:delete val="0"/>
        <c:axPos val="b"/>
        <c:numFmt formatCode="General" sourceLinked="1"/>
        <c:majorTickMark val="out"/>
        <c:minorTickMark val="none"/>
        <c:tickLblPos val="nextTo"/>
        <c:txPr>
          <a:bodyPr/>
          <a:lstStyle/>
          <a:p>
            <a:pPr>
              <a:defRPr b="1"/>
            </a:pPr>
            <a:endParaRPr lang="en-US"/>
          </a:p>
        </c:txPr>
        <c:crossAx val="141479296"/>
        <c:crosses val="autoZero"/>
        <c:auto val="1"/>
        <c:lblAlgn val="ctr"/>
        <c:lblOffset val="100"/>
        <c:noMultiLvlLbl val="0"/>
      </c:catAx>
      <c:valAx>
        <c:axId val="141479296"/>
        <c:scaling>
          <c:orientation val="minMax"/>
          <c:max val="38000"/>
          <c:min val="1000"/>
        </c:scaling>
        <c:delete val="0"/>
        <c:axPos val="l"/>
        <c:majorGridlines/>
        <c:numFmt formatCode="&quot;$&quot;#,##0" sourceLinked="1"/>
        <c:majorTickMark val="out"/>
        <c:minorTickMark val="none"/>
        <c:tickLblPos val="nextTo"/>
        <c:spPr>
          <a:noFill/>
        </c:spPr>
        <c:txPr>
          <a:bodyPr/>
          <a:lstStyle/>
          <a:p>
            <a:pPr>
              <a:defRPr sz="1000" b="1"/>
            </a:pPr>
            <a:endParaRPr lang="en-US"/>
          </a:p>
        </c:txPr>
        <c:crossAx val="141477760"/>
        <c:crosses val="autoZero"/>
        <c:crossBetween val="midCat"/>
      </c:valAx>
      <c:spPr>
        <a:solidFill>
          <a:schemeClr val="bg1"/>
        </a:solidFill>
        <a:ln>
          <a:solidFill>
            <a:schemeClr val="bg1">
              <a:lumMod val="65000"/>
            </a:schemeClr>
          </a:solidFill>
        </a:ln>
      </c:spPr>
    </c:plotArea>
    <c:legend>
      <c:legendPos val="t"/>
      <c:legendEntry>
        <c:idx val="0"/>
        <c:txPr>
          <a:bodyPr/>
          <a:lstStyle/>
          <a:p>
            <a:pPr>
              <a:defRPr sz="1200">
                <a:solidFill>
                  <a:schemeClr val="dk1"/>
                </a:solidFill>
                <a:latin typeface="+mn-lt"/>
                <a:ea typeface="+mn-ea"/>
                <a:cs typeface="+mn-cs"/>
              </a:defRPr>
            </a:pPr>
            <a:endParaRPr lang="en-US"/>
          </a:p>
        </c:txPr>
      </c:legendEntry>
      <c:layout>
        <c:manualLayout>
          <c:xMode val="edge"/>
          <c:yMode val="edge"/>
          <c:x val="4.6491228070175437E-2"/>
          <c:y val="6.2442607897153349E-2"/>
          <c:w val="0.94824561403508767"/>
          <c:h val="8.2657643001236417E-2"/>
        </c:manualLayout>
      </c:layout>
      <c:overlay val="0"/>
      <c:spPr>
        <a:noFill/>
        <a:ln w="25400" cap="flat" cmpd="sng" algn="ctr">
          <a:noFill/>
          <a:prstDash val="solid"/>
        </a:ln>
        <a:effectLst/>
      </c:spPr>
      <c:txPr>
        <a:bodyPr/>
        <a:lstStyle/>
        <a:p>
          <a:pPr>
            <a:defRPr sz="1200">
              <a:solidFill>
                <a:schemeClr val="dk1"/>
              </a:solidFill>
              <a:latin typeface="+mn-lt"/>
              <a:ea typeface="+mn-ea"/>
              <a:cs typeface="+mn-cs"/>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372808926522378E-2"/>
          <c:y val="7.7151509907415414E-2"/>
          <c:w val="0.78015167702027199"/>
          <c:h val="0.85302298751117644"/>
        </c:manualLayout>
      </c:layout>
      <c:pieChart>
        <c:varyColors val="1"/>
        <c:ser>
          <c:idx val="0"/>
          <c:order val="0"/>
          <c:spPr>
            <a:ln>
              <a:solidFill>
                <a:schemeClr val="tx1">
                  <a:lumMod val="65000"/>
                  <a:lumOff val="35000"/>
                </a:schemeClr>
              </a:solidFill>
            </a:ln>
          </c:spPr>
          <c:dPt>
            <c:idx val="0"/>
            <c:bubble3D val="0"/>
            <c:spPr>
              <a:solidFill>
                <a:schemeClr val="bg1">
                  <a:lumMod val="75000"/>
                </a:schemeClr>
              </a:solidFill>
              <a:ln>
                <a:solidFill>
                  <a:schemeClr val="tx1">
                    <a:lumMod val="65000"/>
                    <a:lumOff val="35000"/>
                  </a:schemeClr>
                </a:solidFill>
              </a:ln>
            </c:spPr>
          </c:dPt>
          <c:dPt>
            <c:idx val="1"/>
            <c:bubble3D val="0"/>
            <c:spPr>
              <a:solidFill>
                <a:schemeClr val="tx1"/>
              </a:solidFill>
              <a:ln>
                <a:solidFill>
                  <a:schemeClr val="tx1">
                    <a:lumMod val="65000"/>
                    <a:lumOff val="35000"/>
                  </a:schemeClr>
                </a:solidFill>
              </a:ln>
            </c:spPr>
          </c:dPt>
          <c:dLbls>
            <c:dLbl>
              <c:idx val="0"/>
              <c:delete val="1"/>
            </c:dLbl>
            <c:txPr>
              <a:bodyPr/>
              <a:lstStyle/>
              <a:p>
                <a:pPr>
                  <a:defRPr sz="1200" b="1">
                    <a:solidFill>
                      <a:schemeClr val="bg1"/>
                    </a:solidFill>
                  </a:defRPr>
                </a:pPr>
                <a:endParaRPr lang="en-US"/>
              </a:p>
            </c:txPr>
            <c:dLblPos val="bestFit"/>
            <c:showLegendKey val="0"/>
            <c:showVal val="0"/>
            <c:showCatName val="0"/>
            <c:showSerName val="0"/>
            <c:showPercent val="1"/>
            <c:showBubbleSize val="0"/>
            <c:showLeaderLines val="1"/>
          </c:dLbls>
          <c:val>
            <c:numRef>
              <c:f>'Admin Settings'!$I$72:$J$72</c:f>
              <c:numCache>
                <c:formatCode>0%</c:formatCode>
                <c:ptCount val="2"/>
                <c:pt idx="0">
                  <c:v>0.64485027223230484</c:v>
                </c:pt>
                <c:pt idx="1">
                  <c:v>0.3551497277676951</c:v>
                </c:pt>
              </c:numCache>
            </c:numRef>
          </c:val>
        </c:ser>
        <c:dLbls>
          <c:showLegendKey val="0"/>
          <c:showVal val="0"/>
          <c:showCatName val="0"/>
          <c:showSerName val="0"/>
          <c:showPercent val="1"/>
          <c:showBubbleSize val="0"/>
          <c:showLeaderLines val="1"/>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Sources</a:t>
            </a:r>
            <a:r>
              <a:rPr lang="en-AU" baseline="0"/>
              <a:t> of Spending</a:t>
            </a:r>
            <a:endParaRPr lang="en-AU"/>
          </a:p>
        </c:rich>
      </c:tx>
      <c:overlay val="0"/>
    </c:title>
    <c:autoTitleDeleted val="0"/>
    <c:plotArea>
      <c:layout/>
      <c:barChart>
        <c:barDir val="col"/>
        <c:grouping val="stacked"/>
        <c:varyColors val="0"/>
        <c:ser>
          <c:idx val="0"/>
          <c:order val="1"/>
          <c:tx>
            <c:strRef>
              <c:f>'Test Sheet'!$BZ$30</c:f>
              <c:strCache>
                <c:ptCount val="1"/>
                <c:pt idx="0">
                  <c:v>Centrelink</c:v>
                </c:pt>
              </c:strCache>
            </c:strRef>
          </c:tx>
          <c:spPr>
            <a:ln>
              <a:solidFill>
                <a:schemeClr val="bg1">
                  <a:lumMod val="95000"/>
                </a:schemeClr>
              </a:solidFill>
            </a:ln>
          </c:spPr>
          <c:invertIfNegative val="0"/>
          <c:val>
            <c:numRef>
              <c:f>'Test Sheet'!$BY$31:$BY$76</c:f>
              <c:numCache>
                <c:formatCode>_-"$"* #,##0_-;\-"$"* #,##0_-;_-"$"* "-"??_-;_-@_-</c:formatCode>
                <c:ptCount val="46"/>
                <c:pt idx="0">
                  <c:v>70000</c:v>
                </c:pt>
                <c:pt idx="1">
                  <c:v>70000</c:v>
                </c:pt>
                <c:pt idx="2">
                  <c:v>70000</c:v>
                </c:pt>
                <c:pt idx="3">
                  <c:v>70000</c:v>
                </c:pt>
                <c:pt idx="4">
                  <c:v>70000</c:v>
                </c:pt>
                <c:pt idx="5">
                  <c:v>70000</c:v>
                </c:pt>
                <c:pt idx="6">
                  <c:v>70000</c:v>
                </c:pt>
                <c:pt idx="7">
                  <c:v>70000</c:v>
                </c:pt>
                <c:pt idx="8">
                  <c:v>70000</c:v>
                </c:pt>
                <c:pt idx="9">
                  <c:v>70000</c:v>
                </c:pt>
                <c:pt idx="10">
                  <c:v>70000</c:v>
                </c:pt>
                <c:pt idx="11">
                  <c:v>70000</c:v>
                </c:pt>
                <c:pt idx="12">
                  <c:v>70000</c:v>
                </c:pt>
                <c:pt idx="13">
                  <c:v>70000</c:v>
                </c:pt>
                <c:pt idx="14">
                  <c:v>70000</c:v>
                </c:pt>
                <c:pt idx="15">
                  <c:v>70000</c:v>
                </c:pt>
                <c:pt idx="16">
                  <c:v>70000</c:v>
                </c:pt>
                <c:pt idx="17">
                  <c:v>70000</c:v>
                </c:pt>
                <c:pt idx="18">
                  <c:v>70000</c:v>
                </c:pt>
                <c:pt idx="19">
                  <c:v>70000</c:v>
                </c:pt>
                <c:pt idx="20">
                  <c:v>70000</c:v>
                </c:pt>
                <c:pt idx="21">
                  <c:v>70000</c:v>
                </c:pt>
                <c:pt idx="22">
                  <c:v>70000</c:v>
                </c:pt>
                <c:pt idx="23">
                  <c:v>70000</c:v>
                </c:pt>
                <c:pt idx="24">
                  <c:v>70000</c:v>
                </c:pt>
                <c:pt idx="25">
                  <c:v>70000</c:v>
                </c:pt>
                <c:pt idx="26">
                  <c:v>70000</c:v>
                </c:pt>
                <c:pt idx="27">
                  <c:v>70000</c:v>
                </c:pt>
                <c:pt idx="28">
                  <c:v>70000</c:v>
                </c:pt>
                <c:pt idx="29">
                  <c:v>70000</c:v>
                </c:pt>
                <c:pt idx="30">
                  <c:v>70000</c:v>
                </c:pt>
                <c:pt idx="31">
                  <c:v>70000</c:v>
                </c:pt>
                <c:pt idx="32">
                  <c:v>70000</c:v>
                </c:pt>
                <c:pt idx="33">
                  <c:v>70000</c:v>
                </c:pt>
                <c:pt idx="34">
                  <c:v>70000</c:v>
                </c:pt>
                <c:pt idx="35">
                  <c:v>70000</c:v>
                </c:pt>
                <c:pt idx="36">
                  <c:v>70000</c:v>
                </c:pt>
                <c:pt idx="37">
                  <c:v>70000</c:v>
                </c:pt>
                <c:pt idx="38">
                  <c:v>70000</c:v>
                </c:pt>
                <c:pt idx="39">
                  <c:v>70000</c:v>
                </c:pt>
                <c:pt idx="40">
                  <c:v>70000</c:v>
                </c:pt>
                <c:pt idx="41">
                  <c:v>70000</c:v>
                </c:pt>
              </c:numCache>
            </c:numRef>
          </c:val>
        </c:ser>
        <c:ser>
          <c:idx val="3"/>
          <c:order val="2"/>
          <c:tx>
            <c:strRef>
              <c:f>'Test Sheet'!$CC$30</c:f>
              <c:strCache>
                <c:ptCount val="1"/>
                <c:pt idx="0">
                  <c:v>Annuity</c:v>
                </c:pt>
              </c:strCache>
            </c:strRef>
          </c:tx>
          <c:spPr>
            <a:ln>
              <a:solidFill>
                <a:schemeClr val="bg1">
                  <a:lumMod val="95000"/>
                </a:schemeClr>
              </a:solidFill>
            </a:ln>
          </c:spPr>
          <c:invertIfNegative val="0"/>
          <c:val>
            <c:numRef>
              <c:f>'Test Sheet'!$CC$31:$CC$55</c:f>
              <c:numCache>
                <c:formatCode>_-"$"* #,##0_-;\-"$"* #,##0_-;_-"$"* "-"??_-;_-@_-</c:formatCode>
                <c:ptCount val="25"/>
                <c:pt idx="0">
                  <c:v>8750.07</c:v>
                </c:pt>
                <c:pt idx="1">
                  <c:v>8536.6536585365866</c:v>
                </c:pt>
                <c:pt idx="2">
                  <c:v>8328.4425936942298</c:v>
                </c:pt>
                <c:pt idx="3">
                  <c:v>8125.3098475065653</c:v>
                </c:pt>
                <c:pt idx="4">
                  <c:v>7927.1315585429911</c:v>
                </c:pt>
                <c:pt idx="5">
                  <c:v>7733.7868863834055</c:v>
                </c:pt>
                <c:pt idx="6">
                  <c:v>7545.1579379350296</c:v>
                </c:pt>
                <c:pt idx="7">
                  <c:v>7361.1296955463704</c:v>
                </c:pt>
                <c:pt idx="8">
                  <c:v>7181.5899468745083</c:v>
                </c:pt>
                <c:pt idx="9">
                  <c:v>7006.4292164629351</c:v>
                </c:pt>
                <c:pt idx="10">
                  <c:v>6835.5406989882285</c:v>
                </c:pt>
                <c:pt idx="11">
                  <c:v>6668.820194134858</c:v>
                </c:pt>
                <c:pt idx="12">
                  <c:v>6506.1660430583979</c:v>
                </c:pt>
                <c:pt idx="13">
                  <c:v>6347.4790663984368</c:v>
                </c:pt>
                <c:pt idx="14">
                  <c:v>6192.6625038033526</c:v>
                </c:pt>
                <c:pt idx="15">
                  <c:v>6041.6219549301004</c:v>
                </c:pt>
                <c:pt idx="16">
                  <c:v>5894.2653218830255</c:v>
                </c:pt>
                <c:pt idx="17">
                  <c:v>5750.5027530566094</c:v>
                </c:pt>
                <c:pt idx="18">
                  <c:v>5610.2465883479126</c:v>
                </c:pt>
                <c:pt idx="19">
                  <c:v>5473.41130570528</c:v>
                </c:pt>
                <c:pt idx="20">
                  <c:v>5339.9134689807615</c:v>
                </c:pt>
                <c:pt idx="21">
                  <c:v>5209.6716770544017</c:v>
                </c:pt>
                <c:pt idx="22">
                  <c:v>5082.6065141994168</c:v>
                </c:pt>
                <c:pt idx="23">
                  <c:v>4958.6405016579674</c:v>
                </c:pt>
                <c:pt idx="24">
                  <c:v>4837.6980503980176</c:v>
                </c:pt>
              </c:numCache>
            </c:numRef>
          </c:val>
        </c:ser>
        <c:ser>
          <c:idx val="1"/>
          <c:order val="3"/>
          <c:tx>
            <c:strRef>
              <c:f>'Test Sheet'!$CA$30</c:f>
              <c:strCache>
                <c:ptCount val="1"/>
                <c:pt idx="0">
                  <c:v>ABP</c:v>
                </c:pt>
              </c:strCache>
            </c:strRef>
          </c:tx>
          <c:spPr>
            <a:ln>
              <a:solidFill>
                <a:schemeClr val="bg1">
                  <a:lumMod val="95000"/>
                </a:schemeClr>
              </a:solidFill>
            </a:ln>
          </c:spPr>
          <c:invertIfNegative val="0"/>
          <c:val>
            <c:numRef>
              <c:f>'Test Sheet'!$BZ$31:$BZ$76</c:f>
              <c:numCache>
                <c:formatCode>_-"$"* #,##0_-;\-"$"* #,##0_-;_-"$"* "-"??_-;_-@_-</c:formatCode>
                <c:ptCount val="46"/>
                <c:pt idx="0">
                  <c:v>2308.3619178082195</c:v>
                </c:pt>
                <c:pt idx="1">
                  <c:v>1910.5560975609756</c:v>
                </c:pt>
                <c:pt idx="2">
                  <c:v>6470.8400951814401</c:v>
                </c:pt>
                <c:pt idx="3">
                  <c:v>11411.043995298969</c:v>
                </c:pt>
                <c:pt idx="4">
                  <c:v>16039.559995413627</c:v>
                </c:pt>
                <c:pt idx="5">
                  <c:v>20356.380483330366</c:v>
                </c:pt>
                <c:pt idx="6">
                  <c:v>24244.498032517433</c:v>
                </c:pt>
                <c:pt idx="7">
                  <c:v>27859.905397577983</c:v>
                </c:pt>
                <c:pt idx="8">
                  <c:v>31202.595509832179</c:v>
                </c:pt>
                <c:pt idx="9">
                  <c:v>33924.685354543428</c:v>
                </c:pt>
                <c:pt idx="10">
                  <c:v>34261.796559031223</c:v>
                </c:pt>
                <c:pt idx="11">
                  <c:v>34251.294203932899</c:v>
                </c:pt>
                <c:pt idx="12">
                  <c:v>34241.048003836971</c:v>
                </c:pt>
                <c:pt idx="13">
                  <c:v>34231.051711060463</c:v>
                </c:pt>
                <c:pt idx="14">
                  <c:v>34221.299230302888</c:v>
                </c:pt>
                <c:pt idx="15">
                  <c:v>34211.784614929646</c:v>
                </c:pt>
                <c:pt idx="16">
                  <c:v>34202.502063346001</c:v>
                </c:pt>
                <c:pt idx="17">
                  <c:v>34193.44591545951</c:v>
                </c:pt>
                <c:pt idx="18">
                  <c:v>34184.610649228795</c:v>
                </c:pt>
                <c:pt idx="19">
                  <c:v>34175.990877296383</c:v>
                </c:pt>
                <c:pt idx="20">
                  <c:v>34167.581343703787</c:v>
                </c:pt>
                <c:pt idx="21">
                  <c:v>34159.37692068662</c:v>
                </c:pt>
                <c:pt idx="22">
                  <c:v>34151.37260554792</c:v>
                </c:pt>
                <c:pt idx="23">
                  <c:v>34143.563517607727</c:v>
                </c:pt>
                <c:pt idx="24">
                  <c:v>34135.944895227054</c:v>
                </c:pt>
                <c:pt idx="25">
                  <c:v>34128.512092904442</c:v>
                </c:pt>
                <c:pt idx="26">
                  <c:v>34121.260578443362</c:v>
                </c:pt>
                <c:pt idx="27">
                  <c:v>34114.185930188643</c:v>
                </c:pt>
                <c:pt idx="28">
                  <c:v>34107.283834330381</c:v>
                </c:pt>
                <c:pt idx="29">
                  <c:v>34100.550082273541</c:v>
                </c:pt>
                <c:pt idx="30">
                  <c:v>34093.980568071747</c:v>
                </c:pt>
                <c:pt idx="31">
                  <c:v>34087.571285923659</c:v>
                </c:pt>
                <c:pt idx="32">
                  <c:v>34081.318327730398</c:v>
                </c:pt>
                <c:pt idx="33">
                  <c:v>34075.217880712582</c:v>
                </c:pt>
                <c:pt idx="34">
                  <c:v>34069.266225085448</c:v>
                </c:pt>
                <c:pt idx="35">
                  <c:v>0</c:v>
                </c:pt>
                <c:pt idx="36">
                  <c:v>0</c:v>
                </c:pt>
                <c:pt idx="37">
                  <c:v>0</c:v>
                </c:pt>
                <c:pt idx="38">
                  <c:v>0</c:v>
                </c:pt>
                <c:pt idx="39">
                  <c:v>0</c:v>
                </c:pt>
                <c:pt idx="40">
                  <c:v>0</c:v>
                </c:pt>
                <c:pt idx="41">
                  <c:v>0</c:v>
                </c:pt>
              </c:numCache>
            </c:numRef>
          </c:val>
        </c:ser>
        <c:ser>
          <c:idx val="2"/>
          <c:order val="4"/>
          <c:tx>
            <c:strRef>
              <c:f>'Test Sheet'!$CB$30</c:f>
              <c:strCache>
                <c:ptCount val="1"/>
                <c:pt idx="0">
                  <c:v>NonSuper</c:v>
                </c:pt>
              </c:strCache>
            </c:strRef>
          </c:tx>
          <c:spPr>
            <a:ln>
              <a:solidFill>
                <a:schemeClr val="bg1">
                  <a:lumMod val="95000"/>
                </a:schemeClr>
              </a:solidFill>
            </a:ln>
          </c:spPr>
          <c:invertIfNegative val="0"/>
          <c:val>
            <c:numRef>
              <c:f>'Test Sheet'!$CB$31:$CB$56</c:f>
              <c:numCache>
                <c:formatCode>_-"$"* #,##0_-;\-"$"* #,##0_-;_-"$"* "-"??_-;_-@_-</c:formatCode>
                <c:ptCount val="26"/>
                <c:pt idx="0">
                  <c:v>15000</c:v>
                </c:pt>
                <c:pt idx="1">
                  <c:v>14634.146341463416</c:v>
                </c:pt>
                <c:pt idx="2">
                  <c:v>14277.215942891138</c:v>
                </c:pt>
                <c:pt idx="3">
                  <c:v>13928.991163796234</c:v>
                </c:pt>
                <c:pt idx="4">
                  <c:v>13589.259671996328</c:v>
                </c:pt>
                <c:pt idx="5">
                  <c:v>12849.696655606172</c:v>
                </c:pt>
                <c:pt idx="6">
                  <c:v>11685.748737176755</c:v>
                </c:pt>
                <c:pt idx="7">
                  <c:v>10624.400719196836</c:v>
                </c:pt>
                <c:pt idx="8">
                  <c:v>9658.3062626310602</c:v>
                </c:pt>
                <c:pt idx="9">
                  <c:v>8780.0789879327422</c:v>
                </c:pt>
                <c:pt idx="10">
                  <c:v>7972.1118906660913</c:v>
                </c:pt>
                <c:pt idx="11">
                  <c:v>7165.0686738205777</c:v>
                </c:pt>
                <c:pt idx="12">
                  <c:v>6348.9015354347111</c:v>
                </c:pt>
                <c:pt idx="13">
                  <c:v>5523.6928150582544</c:v>
                </c:pt>
                <c:pt idx="14">
                  <c:v>4689.5213805446392</c:v>
                </c:pt>
                <c:pt idx="15">
                  <c:v>3846.4641761411117</c:v>
                </c:pt>
                <c:pt idx="16">
                  <c:v>2994.5953913571825</c:v>
                </c:pt>
                <c:pt idx="17">
                  <c:v>2133.9865281533489</c:v>
                </c:pt>
                <c:pt idx="18">
                  <c:v>1264.7070518569258</c:v>
                </c:pt>
                <c:pt idx="19">
                  <c:v>386.823270104318</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0"/>
        <c:overlap val="100"/>
        <c:axId val="154294144"/>
        <c:axId val="154296704"/>
      </c:barChart>
      <c:lineChart>
        <c:grouping val="standard"/>
        <c:varyColors val="0"/>
        <c:ser>
          <c:idx val="4"/>
          <c:order val="0"/>
          <c:tx>
            <c:v>Target Income Input</c:v>
          </c:tx>
          <c:spPr>
            <a:ln>
              <a:noFill/>
            </a:ln>
          </c:spPr>
          <c:marker>
            <c:symbol val="circle"/>
            <c:size val="3"/>
            <c:spPr>
              <a:solidFill>
                <a:schemeClr val="tx1"/>
              </a:solidFill>
              <a:ln>
                <a:solidFill>
                  <a:sysClr val="windowText" lastClr="000000"/>
                </a:solidFill>
              </a:ln>
            </c:spPr>
          </c:marker>
          <c:val>
            <c:numRef>
              <c:f>'Test Sheet'!$BX$31:$BX$76</c:f>
              <c:numCache>
                <c:formatCode>_-"$"* #,##0_-;\-"$"* #,##0_-;_-"$"* "-"??_-;_-@_-</c:formatCode>
                <c:ptCount val="46"/>
              </c:numCache>
            </c:numRef>
          </c:val>
          <c:smooth val="0"/>
        </c:ser>
        <c:dLbls>
          <c:showLegendKey val="0"/>
          <c:showVal val="0"/>
          <c:showCatName val="0"/>
          <c:showSerName val="0"/>
          <c:showPercent val="0"/>
          <c:showBubbleSize val="0"/>
        </c:dLbls>
        <c:marker val="1"/>
        <c:smooth val="0"/>
        <c:axId val="154294144"/>
        <c:axId val="154296704"/>
      </c:lineChart>
      <c:catAx>
        <c:axId val="154294144"/>
        <c:scaling>
          <c:orientation val="minMax"/>
        </c:scaling>
        <c:delete val="0"/>
        <c:axPos val="b"/>
        <c:majorTickMark val="out"/>
        <c:minorTickMark val="none"/>
        <c:tickLblPos val="nextTo"/>
        <c:crossAx val="154296704"/>
        <c:crosses val="autoZero"/>
        <c:auto val="1"/>
        <c:lblAlgn val="ctr"/>
        <c:lblOffset val="100"/>
        <c:noMultiLvlLbl val="0"/>
      </c:catAx>
      <c:valAx>
        <c:axId val="154296704"/>
        <c:scaling>
          <c:orientation val="minMax"/>
          <c:min val="0"/>
        </c:scaling>
        <c:delete val="0"/>
        <c:axPos val="l"/>
        <c:majorGridlines/>
        <c:numFmt formatCode="_-&quot;$&quot;* #,##0_-;\-&quot;$&quot;* #,##0_-;_-&quot;$&quot;* &quot;-&quot;??_-;_-@_-" sourceLinked="1"/>
        <c:majorTickMark val="out"/>
        <c:minorTickMark val="none"/>
        <c:tickLblPos val="nextTo"/>
        <c:crossAx val="154294144"/>
        <c:crosses val="autoZero"/>
        <c:crossBetween val="between"/>
      </c:valAx>
      <c:spPr>
        <a:noFill/>
        <a:ln w="25400">
          <a:noFill/>
        </a:ln>
      </c:spPr>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'Test Sheet'!$CE$30</c:f>
              <c:strCache>
                <c:ptCount val="1"/>
                <c:pt idx="0">
                  <c:v>Wealth</c:v>
                </c:pt>
              </c:strCache>
            </c:strRef>
          </c:tx>
          <c:marker>
            <c:symbol val="none"/>
          </c:marker>
          <c:val>
            <c:numRef>
              <c:f>'Test Sheet'!$CE$31:$CE$68</c:f>
              <c:numCache>
                <c:formatCode>_-"$"* #,##0_-;\-"$"* #,##0_-;_-"$"* "-"??_-;_-@_-</c:formatCode>
                <c:ptCount val="38"/>
                <c:pt idx="0">
                  <c:v>773942.02909100568</c:v>
                </c:pt>
                <c:pt idx="1">
                  <c:v>715513.8995072518</c:v>
                </c:pt>
                <c:pt idx="2">
                  <c:v>660410.44579122937</c:v>
                </c:pt>
                <c:pt idx="3">
                  <c:v>607937.95934489125</c:v>
                </c:pt>
                <c:pt idx="4">
                  <c:v>559533.25231856853</c:v>
                </c:pt>
                <c:pt idx="5">
                  <c:v>515771.21628662862</c:v>
                </c:pt>
                <c:pt idx="6">
                  <c:v>475706.88579721021</c:v>
                </c:pt>
                <c:pt idx="7">
                  <c:v>439085.46513224026</c:v>
                </c:pt>
                <c:pt idx="8">
                  <c:v>405651.97638084495</c:v>
                </c:pt>
                <c:pt idx="9">
                  <c:v>374811.89044425666</c:v>
                </c:pt>
                <c:pt idx="10">
                  <c:v>344247.49841029238</c:v>
                </c:pt>
                <c:pt idx="11">
                  <c:v>313972.53684710298</c:v>
                </c:pt>
                <c:pt idx="12">
                  <c:v>283454.03491992672</c:v>
                </c:pt>
                <c:pt idx="13">
                  <c:v>252692.62960189994</c:v>
                </c:pt>
                <c:pt idx="14">
                  <c:v>221688.92248831829</c:v>
                </c:pt>
                <c:pt idx="15">
                  <c:v>99819.846378572751</c:v>
                </c:pt>
                <c:pt idx="16">
                  <c:v>71132.884271778297</c:v>
                </c:pt>
                <c:pt idx="17">
                  <c:v>42156.901728564197</c:v>
                </c:pt>
                <c:pt idx="18">
                  <c:v>12894.109003477268</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smooth val="0"/>
        </c:ser>
        <c:dLbls>
          <c:showLegendKey val="0"/>
          <c:showVal val="0"/>
          <c:showCatName val="0"/>
          <c:showSerName val="0"/>
          <c:showPercent val="0"/>
          <c:showBubbleSize val="0"/>
        </c:dLbls>
        <c:marker val="1"/>
        <c:smooth val="0"/>
        <c:axId val="154317184"/>
        <c:axId val="154318720"/>
      </c:lineChart>
      <c:catAx>
        <c:axId val="154317184"/>
        <c:scaling>
          <c:orientation val="minMax"/>
        </c:scaling>
        <c:delete val="0"/>
        <c:axPos val="b"/>
        <c:majorTickMark val="out"/>
        <c:minorTickMark val="none"/>
        <c:tickLblPos val="nextTo"/>
        <c:crossAx val="154318720"/>
        <c:crosses val="autoZero"/>
        <c:auto val="1"/>
        <c:lblAlgn val="ctr"/>
        <c:lblOffset val="100"/>
        <c:noMultiLvlLbl val="0"/>
      </c:catAx>
      <c:valAx>
        <c:axId val="154318720"/>
        <c:scaling>
          <c:orientation val="minMax"/>
        </c:scaling>
        <c:delete val="0"/>
        <c:axPos val="l"/>
        <c:majorGridlines/>
        <c:numFmt formatCode="_-&quot;$&quot;* #,##0_-;\-&quot;$&quot;* #,##0_-;_-&quot;$&quot;* &quot;-&quot;??_-;_-@_-" sourceLinked="1"/>
        <c:majorTickMark val="out"/>
        <c:minorTickMark val="none"/>
        <c:tickLblPos val="nextTo"/>
        <c:crossAx val="15431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AU"/>
              <a:t>Projected retirement income </a:t>
            </a:r>
          </a:p>
        </c:rich>
      </c:tx>
      <c:layout>
        <c:manualLayout>
          <c:xMode val="edge"/>
          <c:yMode val="edge"/>
          <c:x val="0.37111029216090391"/>
          <c:y val="1.948687838787129E-2"/>
        </c:manualLayout>
      </c:layout>
      <c:overlay val="0"/>
      <c:spPr>
        <a:noFill/>
        <a:ln>
          <a:noFill/>
        </a:ln>
        <a:effectLst/>
      </c:spPr>
    </c:title>
    <c:autoTitleDeleted val="0"/>
    <c:plotArea>
      <c:layout>
        <c:manualLayout>
          <c:layoutTarget val="inner"/>
          <c:xMode val="edge"/>
          <c:yMode val="edge"/>
          <c:x val="8.5540706380391587E-2"/>
          <c:y val="8.6173308032890569E-2"/>
          <c:w val="0.89595692059502441"/>
          <c:h val="0.63085888529187917"/>
        </c:manualLayout>
      </c:layout>
      <c:barChart>
        <c:barDir val="col"/>
        <c:grouping val="stacked"/>
        <c:varyColors val="0"/>
        <c:ser>
          <c:idx val="0"/>
          <c:order val="0"/>
          <c:tx>
            <c:strRef>
              <c:f>'Deterministic Output'!$A$2</c:f>
              <c:strCache>
                <c:ptCount val="1"/>
                <c:pt idx="0">
                  <c:v>Age pension</c:v>
                </c:pt>
              </c:strCache>
            </c:strRef>
          </c:tx>
          <c:spPr>
            <a:solidFill>
              <a:schemeClr val="accent1"/>
            </a:solidFill>
            <a:ln>
              <a:noFill/>
            </a:ln>
            <a:effectLst/>
          </c:spPr>
          <c:invertIfNegative val="0"/>
          <c:val>
            <c:numRef>
              <c:f>[0]!IncomeAgePension</c:f>
              <c:numCache>
                <c:formatCode>0</c:formatCode>
                <c:ptCount val="35"/>
                <c:pt idx="0">
                  <c:v>2308.3619178082195</c:v>
                </c:pt>
                <c:pt idx="1">
                  <c:v>1910.5560975609756</c:v>
                </c:pt>
                <c:pt idx="2">
                  <c:v>6470.8400951814401</c:v>
                </c:pt>
                <c:pt idx="3">
                  <c:v>11411.043995298969</c:v>
                </c:pt>
                <c:pt idx="4">
                  <c:v>16039.559995413627</c:v>
                </c:pt>
                <c:pt idx="5">
                  <c:v>20356.380483330366</c:v>
                </c:pt>
                <c:pt idx="6">
                  <c:v>24244.498032517433</c:v>
                </c:pt>
                <c:pt idx="7">
                  <c:v>27859.905397577983</c:v>
                </c:pt>
                <c:pt idx="8">
                  <c:v>31202.595509832179</c:v>
                </c:pt>
                <c:pt idx="9">
                  <c:v>33924.685354543428</c:v>
                </c:pt>
                <c:pt idx="10">
                  <c:v>34261.796559031223</c:v>
                </c:pt>
                <c:pt idx="11">
                  <c:v>34251.294203932899</c:v>
                </c:pt>
                <c:pt idx="12">
                  <c:v>34241.048003836971</c:v>
                </c:pt>
                <c:pt idx="13">
                  <c:v>34231.051711060463</c:v>
                </c:pt>
                <c:pt idx="14">
                  <c:v>34221.299230302888</c:v>
                </c:pt>
                <c:pt idx="15">
                  <c:v>34211.784614929646</c:v>
                </c:pt>
                <c:pt idx="16">
                  <c:v>34202.502063346001</c:v>
                </c:pt>
                <c:pt idx="17">
                  <c:v>34193.44591545951</c:v>
                </c:pt>
                <c:pt idx="18">
                  <c:v>34184.610649228795</c:v>
                </c:pt>
                <c:pt idx="19">
                  <c:v>34175.990877296383</c:v>
                </c:pt>
                <c:pt idx="20">
                  <c:v>34167.581343703787</c:v>
                </c:pt>
                <c:pt idx="21">
                  <c:v>34159.37692068662</c:v>
                </c:pt>
                <c:pt idx="22">
                  <c:v>34151.37260554792</c:v>
                </c:pt>
                <c:pt idx="23">
                  <c:v>34143.563517607727</c:v>
                </c:pt>
                <c:pt idx="24">
                  <c:v>34135.944895227054</c:v>
                </c:pt>
                <c:pt idx="25">
                  <c:v>34128.512092904442</c:v>
                </c:pt>
                <c:pt idx="26">
                  <c:v>34121.260578443362</c:v>
                </c:pt>
                <c:pt idx="27">
                  <c:v>34114.185930188643</c:v>
                </c:pt>
                <c:pt idx="28">
                  <c:v>34107.283834330381</c:v>
                </c:pt>
                <c:pt idx="29">
                  <c:v>34100.550082273541</c:v>
                </c:pt>
                <c:pt idx="30">
                  <c:v>34093.980568071747</c:v>
                </c:pt>
                <c:pt idx="31">
                  <c:v>34087.571285923659</c:v>
                </c:pt>
                <c:pt idx="32">
                  <c:v>34081.318327730398</c:v>
                </c:pt>
                <c:pt idx="33">
                  <c:v>34075.217880712582</c:v>
                </c:pt>
                <c:pt idx="34">
                  <c:v>34069.266225085448</c:v>
                </c:pt>
              </c:numCache>
            </c:numRef>
          </c:val>
        </c:ser>
        <c:ser>
          <c:idx val="2"/>
          <c:order val="1"/>
          <c:tx>
            <c:v>Lifetime annuity</c:v>
          </c:tx>
          <c:spPr>
            <a:solidFill>
              <a:srgbClr val="9AB5E4"/>
            </a:solidFill>
            <a:ln>
              <a:noFill/>
            </a:ln>
            <a:effectLst/>
          </c:spPr>
          <c:invertIfNegative val="0"/>
          <c:val>
            <c:numRef>
              <c:f>[0]!IncomeLifeAnnuity</c:f>
              <c:numCache>
                <c:formatCode>0</c:formatCode>
                <c:ptCount val="35"/>
                <c:pt idx="0">
                  <c:v>8750.07</c:v>
                </c:pt>
                <c:pt idx="1">
                  <c:v>8536.6536585365866</c:v>
                </c:pt>
                <c:pt idx="2">
                  <c:v>8328.4425936942298</c:v>
                </c:pt>
                <c:pt idx="3">
                  <c:v>8125.3098475065653</c:v>
                </c:pt>
                <c:pt idx="4">
                  <c:v>7927.1315585429911</c:v>
                </c:pt>
                <c:pt idx="5">
                  <c:v>7733.7868863834055</c:v>
                </c:pt>
                <c:pt idx="6">
                  <c:v>7545.1579379350296</c:v>
                </c:pt>
                <c:pt idx="7">
                  <c:v>7361.1296955463704</c:v>
                </c:pt>
                <c:pt idx="8">
                  <c:v>7181.5899468745083</c:v>
                </c:pt>
                <c:pt idx="9">
                  <c:v>7006.4292164629351</c:v>
                </c:pt>
                <c:pt idx="10">
                  <c:v>6835.5406989882285</c:v>
                </c:pt>
                <c:pt idx="11">
                  <c:v>6668.820194134858</c:v>
                </c:pt>
                <c:pt idx="12">
                  <c:v>6506.1660430583979</c:v>
                </c:pt>
                <c:pt idx="13">
                  <c:v>6347.4790663984368</c:v>
                </c:pt>
                <c:pt idx="14">
                  <c:v>6192.6625038033526</c:v>
                </c:pt>
                <c:pt idx="15">
                  <c:v>6041.6219549301004</c:v>
                </c:pt>
                <c:pt idx="16">
                  <c:v>5894.2653218830255</c:v>
                </c:pt>
                <c:pt idx="17">
                  <c:v>5750.5027530566094</c:v>
                </c:pt>
                <c:pt idx="18">
                  <c:v>5610.2465883479126</c:v>
                </c:pt>
                <c:pt idx="19">
                  <c:v>5473.41130570528</c:v>
                </c:pt>
                <c:pt idx="20">
                  <c:v>5339.9134689807615</c:v>
                </c:pt>
                <c:pt idx="21">
                  <c:v>5209.6716770544017</c:v>
                </c:pt>
                <c:pt idx="22">
                  <c:v>5082.6065141994168</c:v>
                </c:pt>
                <c:pt idx="23">
                  <c:v>4958.6405016579674</c:v>
                </c:pt>
                <c:pt idx="24">
                  <c:v>4837.6980503980176</c:v>
                </c:pt>
                <c:pt idx="25">
                  <c:v>4719.7054150224558</c:v>
                </c:pt>
                <c:pt idx="26">
                  <c:v>4604.5906488023957</c:v>
                </c:pt>
                <c:pt idx="27">
                  <c:v>4492.2835598072152</c:v>
                </c:pt>
                <c:pt idx="28">
                  <c:v>4382.7156681045999</c:v>
                </c:pt>
                <c:pt idx="29">
                  <c:v>4275.8201640044881</c:v>
                </c:pt>
                <c:pt idx="30">
                  <c:v>4171.5318673214515</c:v>
                </c:pt>
                <c:pt idx="31">
                  <c:v>4069.7871876306845</c:v>
                </c:pt>
                <c:pt idx="32">
                  <c:v>3970.5240854933509</c:v>
                </c:pt>
                <c:pt idx="33">
                  <c:v>3873.682034627659</c:v>
                </c:pt>
                <c:pt idx="34">
                  <c:v>3779.2019850025945</c:v>
                </c:pt>
              </c:numCache>
            </c:numRef>
          </c:val>
        </c:ser>
        <c:ser>
          <c:idx val="5"/>
          <c:order val="2"/>
          <c:tx>
            <c:v>Term deposit/cash</c:v>
          </c:tx>
          <c:spPr>
            <a:solidFill>
              <a:schemeClr val="accent1">
                <a:lumMod val="50000"/>
              </a:schemeClr>
            </a:solidFill>
            <a:ln w="25400" cap="flat" cmpd="sng" algn="ctr">
              <a:noFill/>
              <a:prstDash val="solid"/>
            </a:ln>
            <a:effectLst/>
          </c:spPr>
          <c:invertIfNegative val="0"/>
          <c:val>
            <c:numRef>
              <c:f>'Deterministic Output'!$F$3:$F$37</c:f>
              <c:numCache>
                <c:formatCode>0</c:formatCode>
                <c:ptCount val="35"/>
                <c:pt idx="0">
                  <c:v>15000</c:v>
                </c:pt>
                <c:pt idx="1">
                  <c:v>14634.146341463416</c:v>
                </c:pt>
                <c:pt idx="2">
                  <c:v>14277.215942891138</c:v>
                </c:pt>
                <c:pt idx="3">
                  <c:v>13928.991163796234</c:v>
                </c:pt>
                <c:pt idx="4">
                  <c:v>13589.259671996328</c:v>
                </c:pt>
                <c:pt idx="5">
                  <c:v>12849.696655606172</c:v>
                </c:pt>
                <c:pt idx="6">
                  <c:v>11685.748737176755</c:v>
                </c:pt>
                <c:pt idx="7">
                  <c:v>10624.400719196836</c:v>
                </c:pt>
                <c:pt idx="8">
                  <c:v>9658.3062626310602</c:v>
                </c:pt>
                <c:pt idx="9">
                  <c:v>8780.0789879327422</c:v>
                </c:pt>
                <c:pt idx="10">
                  <c:v>7972.1118906660913</c:v>
                </c:pt>
                <c:pt idx="11">
                  <c:v>7165.0686738205777</c:v>
                </c:pt>
                <c:pt idx="12">
                  <c:v>6348.9015354347111</c:v>
                </c:pt>
                <c:pt idx="13">
                  <c:v>5523.6928150582544</c:v>
                </c:pt>
                <c:pt idx="14">
                  <c:v>4689.5213805446392</c:v>
                </c:pt>
                <c:pt idx="15">
                  <c:v>3846.4641761411117</c:v>
                </c:pt>
                <c:pt idx="16">
                  <c:v>2994.5953913571825</c:v>
                </c:pt>
                <c:pt idx="17">
                  <c:v>2133.9865281533489</c:v>
                </c:pt>
                <c:pt idx="18">
                  <c:v>1264.7070518569258</c:v>
                </c:pt>
                <c:pt idx="19">
                  <c:v>386.823270104318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er>
        <c:ser>
          <c:idx val="4"/>
          <c:order val="3"/>
          <c:tx>
            <c:v>Other income from non-super investments</c:v>
          </c:tx>
          <c:spPr>
            <a:solidFill>
              <a:schemeClr val="accent3">
                <a:lumMod val="75000"/>
              </a:schemeClr>
            </a:solidFill>
          </c:spPr>
          <c:invertIfNegative val="0"/>
          <c:val>
            <c:numRef>
              <c:f>[0]!IncomeOther</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er>
        <c:ser>
          <c:idx val="1"/>
          <c:order val="4"/>
          <c:tx>
            <c:v>Account-based pension</c:v>
          </c:tx>
          <c:spPr>
            <a:solidFill>
              <a:schemeClr val="accent3">
                <a:lumMod val="60000"/>
                <a:lumOff val="40000"/>
              </a:schemeClr>
            </a:solidFill>
            <a:ln>
              <a:noFill/>
            </a:ln>
            <a:effectLst/>
          </c:spPr>
          <c:invertIfNegative val="0"/>
          <c:val>
            <c:numRef>
              <c:f>[0]!IncomeABP</c:f>
              <c:numCache>
                <c:formatCode>0</c:formatCode>
                <c:ptCount val="35"/>
                <c:pt idx="0">
                  <c:v>43941.568082191778</c:v>
                </c:pt>
                <c:pt idx="1">
                  <c:v>44918.64390243902</c:v>
                </c:pt>
                <c:pt idx="2">
                  <c:v>40923.501368233192</c:v>
                </c:pt>
                <c:pt idx="3">
                  <c:v>36534.654993398231</c:v>
                </c:pt>
                <c:pt idx="4">
                  <c:v>18500.029479479352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er>
        <c:dLbls>
          <c:showLegendKey val="0"/>
          <c:showVal val="0"/>
          <c:showCatName val="0"/>
          <c:showSerName val="0"/>
          <c:showPercent val="0"/>
          <c:showBubbleSize val="0"/>
        </c:dLbls>
        <c:gapWidth val="17"/>
        <c:overlap val="100"/>
        <c:axId val="159049216"/>
        <c:axId val="159050752"/>
      </c:barChart>
      <c:lineChart>
        <c:grouping val="stacked"/>
        <c:varyColors val="0"/>
        <c:ser>
          <c:idx val="7"/>
          <c:order val="5"/>
          <c:tx>
            <c:v>Current portfolio</c:v>
          </c:tx>
          <c:spPr>
            <a:ln w="38100">
              <a:solidFill>
                <a:schemeClr val="tx1"/>
              </a:solidFill>
              <a:prstDash val="sysDash"/>
            </a:ln>
          </c:spPr>
          <c:marker>
            <c:symbol val="none"/>
          </c:marker>
          <c:val>
            <c:numRef>
              <c:f>'Age Pension additional calcs'!$U$10:$U$44</c:f>
              <c:numCache>
                <c:formatCode>0</c:formatCode>
                <c:ptCount val="35"/>
                <c:pt idx="0">
                  <c:v>70000</c:v>
                </c:pt>
                <c:pt idx="1">
                  <c:v>70000</c:v>
                </c:pt>
                <c:pt idx="2">
                  <c:v>70000</c:v>
                </c:pt>
                <c:pt idx="3">
                  <c:v>70000</c:v>
                </c:pt>
                <c:pt idx="4">
                  <c:v>70000</c:v>
                </c:pt>
                <c:pt idx="5">
                  <c:v>70000</c:v>
                </c:pt>
                <c:pt idx="6">
                  <c:v>70000</c:v>
                </c:pt>
                <c:pt idx="7">
                  <c:v>70000</c:v>
                </c:pt>
                <c:pt idx="8">
                  <c:v>70000</c:v>
                </c:pt>
                <c:pt idx="9">
                  <c:v>70000</c:v>
                </c:pt>
                <c:pt idx="10">
                  <c:v>70000</c:v>
                </c:pt>
                <c:pt idx="11">
                  <c:v>70000</c:v>
                </c:pt>
                <c:pt idx="12">
                  <c:v>70000</c:v>
                </c:pt>
                <c:pt idx="13">
                  <c:v>70000</c:v>
                </c:pt>
                <c:pt idx="14">
                  <c:v>70000</c:v>
                </c:pt>
                <c:pt idx="15">
                  <c:v>70000</c:v>
                </c:pt>
                <c:pt idx="16">
                  <c:v>70000</c:v>
                </c:pt>
                <c:pt idx="17">
                  <c:v>70000</c:v>
                </c:pt>
                <c:pt idx="18">
                  <c:v>70000</c:v>
                </c:pt>
                <c:pt idx="19">
                  <c:v>70000</c:v>
                </c:pt>
                <c:pt idx="20">
                  <c:v>52341</c:v>
                </c:pt>
                <c:pt idx="21">
                  <c:v>34159</c:v>
                </c:pt>
                <c:pt idx="22">
                  <c:v>34151</c:v>
                </c:pt>
                <c:pt idx="23">
                  <c:v>34144</c:v>
                </c:pt>
                <c:pt idx="24">
                  <c:v>34136</c:v>
                </c:pt>
                <c:pt idx="25">
                  <c:v>34129</c:v>
                </c:pt>
                <c:pt idx="26">
                  <c:v>34121</c:v>
                </c:pt>
                <c:pt idx="27">
                  <c:v>34114</c:v>
                </c:pt>
                <c:pt idx="28">
                  <c:v>34107</c:v>
                </c:pt>
                <c:pt idx="29">
                  <c:v>34101</c:v>
                </c:pt>
                <c:pt idx="30">
                  <c:v>34094</c:v>
                </c:pt>
                <c:pt idx="31">
                  <c:v>34088</c:v>
                </c:pt>
                <c:pt idx="32">
                  <c:v>34081</c:v>
                </c:pt>
                <c:pt idx="33">
                  <c:v>34075</c:v>
                </c:pt>
                <c:pt idx="34">
                  <c:v>34069</c:v>
                </c:pt>
              </c:numCache>
            </c:numRef>
          </c:val>
          <c:smooth val="0"/>
        </c:ser>
        <c:dLbls>
          <c:showLegendKey val="0"/>
          <c:showVal val="0"/>
          <c:showCatName val="0"/>
          <c:showSerName val="0"/>
          <c:showPercent val="0"/>
          <c:showBubbleSize val="0"/>
        </c:dLbls>
        <c:marker val="1"/>
        <c:smooth val="0"/>
        <c:axId val="159049216"/>
        <c:axId val="159050752"/>
      </c:lineChart>
      <c:catAx>
        <c:axId val="15904921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vert="horz"/>
          <a:lstStyle/>
          <a:p>
            <a:pPr>
              <a:defRPr/>
            </a:pPr>
            <a:endParaRPr lang="en-US"/>
          </a:p>
        </c:txPr>
        <c:crossAx val="159050752"/>
        <c:crossesAt val="0"/>
        <c:auto val="1"/>
        <c:lblAlgn val="ctr"/>
        <c:lblOffset val="100"/>
        <c:tickLblSkip val="2"/>
        <c:tickMarkSkip val="1"/>
        <c:noMultiLvlLbl val="1"/>
      </c:catAx>
      <c:valAx>
        <c:axId val="159050752"/>
        <c:scaling>
          <c:orientation val="minMax"/>
          <c:min val="0"/>
        </c:scaling>
        <c:delete val="0"/>
        <c:axPos val="l"/>
        <c:majorGridlines>
          <c:spPr>
            <a:ln w="9525" cap="flat" cmpd="sng" algn="ctr">
              <a:noFill/>
              <a:round/>
            </a:ln>
            <a:effectLst/>
          </c:spPr>
        </c:majorGridlines>
        <c:numFmt formatCode="&quot;$&quot;#,##0" sourceLinked="0"/>
        <c:majorTickMark val="none"/>
        <c:minorTickMark val="none"/>
        <c:tickLblPos val="nextTo"/>
        <c:spPr>
          <a:noFill/>
          <a:ln>
            <a:noFill/>
          </a:ln>
          <a:effectLst/>
        </c:spPr>
        <c:txPr>
          <a:bodyPr rot="-60000000" vert="horz"/>
          <a:lstStyle/>
          <a:p>
            <a:pPr>
              <a:defRPr/>
            </a:pPr>
            <a:endParaRPr lang="en-US"/>
          </a:p>
        </c:txPr>
        <c:crossAx val="159049216"/>
        <c:crosses val="autoZero"/>
        <c:crossBetween val="between"/>
      </c:valAx>
      <c:spPr>
        <a:solidFill>
          <a:schemeClr val="bg1"/>
        </a:solidFill>
        <a:ln>
          <a:solidFill>
            <a:schemeClr val="tx1">
              <a:lumMod val="15000"/>
              <a:lumOff val="85000"/>
            </a:schemeClr>
          </a:solidFill>
        </a:ln>
        <a:effectLst/>
      </c:spPr>
    </c:plotArea>
    <c:legend>
      <c:legendPos val="b"/>
      <c:layout>
        <c:manualLayout>
          <c:xMode val="edge"/>
          <c:yMode val="edge"/>
          <c:x val="0.10080040156947884"/>
          <c:y val="0.81083308556124811"/>
          <c:w val="0.75029641620065768"/>
          <c:h val="0.11940866246579364"/>
        </c:manualLayout>
      </c:layout>
      <c:overlay val="0"/>
      <c:spPr>
        <a:solidFill>
          <a:schemeClr val="lt1"/>
        </a:solidFill>
        <a:ln w="25400" cap="flat" cmpd="sng" algn="ctr">
          <a:noFill/>
          <a:prstDash val="solid"/>
        </a:ln>
        <a:effectLst/>
      </c:spPr>
      <c:txPr>
        <a:bodyPr rot="0" vert="horz"/>
        <a:lstStyle/>
        <a:p>
          <a:pPr>
            <a:defRPr sz="1400"/>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Projected voluntary withdrawal value</a:t>
            </a:r>
          </a:p>
        </c:rich>
      </c:tx>
      <c:layout>
        <c:manualLayout>
          <c:xMode val="edge"/>
          <c:yMode val="edge"/>
          <c:x val="0.3542878568750335"/>
          <c:y val="1.6064259285858647E-2"/>
        </c:manualLayout>
      </c:layout>
      <c:overlay val="0"/>
    </c:title>
    <c:autoTitleDeleted val="0"/>
    <c:plotArea>
      <c:layout>
        <c:manualLayout>
          <c:layoutTarget val="inner"/>
          <c:xMode val="edge"/>
          <c:yMode val="edge"/>
          <c:x val="9.0068651331994709E-2"/>
          <c:y val="8.8766486947473106E-2"/>
          <c:w val="0.89118307968564181"/>
          <c:h val="0.63309428553679781"/>
        </c:manualLayout>
      </c:layout>
      <c:areaChart>
        <c:grouping val="stacked"/>
        <c:varyColors val="0"/>
        <c:ser>
          <c:idx val="1"/>
          <c:order val="0"/>
          <c:tx>
            <c:strRef>
              <c:f>#REF!</c:f>
              <c:strCache>
                <c:ptCount val="1"/>
                <c:pt idx="0">
                  <c:v>#REF!</c:v>
                </c:pt>
              </c:strCache>
            </c:strRef>
          </c:tx>
          <c:spPr>
            <a:solidFill>
              <a:srgbClr val="9AB5E4"/>
            </a:solidFill>
            <a:ln w="25400">
              <a:noFill/>
            </a:ln>
          </c:spPr>
          <c:val>
            <c:numRef>
              <c:f>[0]!WealthTermAnnuity</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er>
        <c:ser>
          <c:idx val="0"/>
          <c:order val="1"/>
          <c:tx>
            <c:strRef>
              <c:f>#REF!</c:f>
              <c:strCache>
                <c:ptCount val="1"/>
                <c:pt idx="0">
                  <c:v>#REF!</c:v>
                </c:pt>
              </c:strCache>
            </c:strRef>
          </c:tx>
          <c:spPr>
            <a:solidFill>
              <a:srgbClr val="9AB5E4"/>
            </a:solidFill>
            <a:ln w="25400">
              <a:noFill/>
            </a:ln>
          </c:spPr>
          <c:val>
            <c:numRef>
              <c:f>[0]!WealthLifeAnnuity</c:f>
              <c:numCache>
                <c:formatCode>0</c:formatCode>
                <c:ptCount val="35"/>
                <c:pt idx="0">
                  <c:v>151062.63531047103</c:v>
                </c:pt>
                <c:pt idx="1">
                  <c:v>146495.36742283724</c:v>
                </c:pt>
                <c:pt idx="2">
                  <c:v>142016.29913508083</c:v>
                </c:pt>
                <c:pt idx="3">
                  <c:v>136462.60746553433</c:v>
                </c:pt>
                <c:pt idx="4">
                  <c:v>131210.03046502947</c:v>
                </c:pt>
                <c:pt idx="5">
                  <c:v>126246.25838073682</c:v>
                </c:pt>
                <c:pt idx="6">
                  <c:v>121560.19515731571</c:v>
                </c:pt>
                <c:pt idx="7">
                  <c:v>117141.92304453826</c:v>
                </c:pt>
                <c:pt idx="8">
                  <c:v>112982.67678308682</c:v>
                </c:pt>
                <c:pt idx="9">
                  <c:v>109074.82742205361</c:v>
                </c:pt>
                <c:pt idx="10">
                  <c:v>105411.87594960644</c:v>
                </c:pt>
                <c:pt idx="11">
                  <c:v>102342.48566594596</c:v>
                </c:pt>
                <c:pt idx="12">
                  <c:v>99330.941084651568</c:v>
                </c:pt>
                <c:pt idx="13">
                  <c:v>96375.250250411977</c:v>
                </c:pt>
                <c:pt idx="14">
                  <c:v>93473.44995028121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er>
        <c:ser>
          <c:idx val="2"/>
          <c:order val="2"/>
          <c:tx>
            <c:strRef>
              <c:f>#REF!</c:f>
              <c:strCache>
                <c:ptCount val="1"/>
                <c:pt idx="0">
                  <c:v>#REF!</c:v>
                </c:pt>
              </c:strCache>
            </c:strRef>
          </c:tx>
          <c:spPr>
            <a:solidFill>
              <a:schemeClr val="accent3">
                <a:lumMod val="60000"/>
                <a:lumOff val="40000"/>
              </a:schemeClr>
            </a:solidFill>
            <a:ln w="25400">
              <a:noFill/>
            </a:ln>
          </c:spPr>
          <c:val>
            <c:numRef>
              <c:f>[0]!WealthABP</c:f>
              <c:numCache>
                <c:formatCode>0</c:formatCode>
                <c:ptCount val="35"/>
                <c:pt idx="0">
                  <c:v>175000</c:v>
                </c:pt>
                <c:pt idx="1">
                  <c:v>135074.5157317541</c:v>
                </c:pt>
                <c:pt idx="2">
                  <c:v>93111.333988043261</c:v>
                </c:pt>
                <c:pt idx="3">
                  <c:v>54094.4411962741</c:v>
                </c:pt>
                <c:pt idx="4">
                  <c:v>18500.029479479352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er>
        <c:ser>
          <c:idx val="3"/>
          <c:order val="3"/>
          <c:tx>
            <c:v>Other non-super investments</c:v>
          </c:tx>
          <c:spPr>
            <a:solidFill>
              <a:schemeClr val="accent3">
                <a:lumMod val="75000"/>
              </a:schemeClr>
            </a:solidFill>
            <a:ln w="25400">
              <a:noFill/>
            </a:ln>
          </c:spPr>
          <c:val>
            <c:numRef>
              <c:f>[0]!WealthFinancialInv</c:f>
              <c:numCache>
                <c:formatCode>0</c:formatCode>
                <c:ptCount val="35"/>
                <c:pt idx="0">
                  <c:v>15000</c:v>
                </c:pt>
                <c:pt idx="1">
                  <c:v>14268.292682926831</c:v>
                </c:pt>
                <c:pt idx="2">
                  <c:v>13572.278405710887</c:v>
                </c:pt>
                <c:pt idx="3">
                  <c:v>12910.216044456698</c:v>
                </c:pt>
                <c:pt idx="4">
                  <c:v>12280.449408141734</c:v>
                </c:pt>
                <c:pt idx="5">
                  <c:v>11681.403095549453</c:v>
                </c:pt>
                <c:pt idx="6">
                  <c:v>11111.57855430314</c:v>
                </c:pt>
                <c:pt idx="7">
                  <c:v>10569.550332142011</c:v>
                </c:pt>
                <c:pt idx="8">
                  <c:v>10053.962511061911</c:v>
                </c:pt>
                <c:pt idx="9">
                  <c:v>9563.5253154003549</c:v>
                </c:pt>
                <c:pt idx="10">
                  <c:v>9097.0118853808272</c:v>
                </c:pt>
                <c:pt idx="11">
                  <c:v>8653.2552080451769</c:v>
                </c:pt>
                <c:pt idx="12">
                  <c:v>8231.1451978966306</c:v>
                </c:pt>
                <c:pt idx="13">
                  <c:v>7829.6259199504548</c:v>
                </c:pt>
                <c:pt idx="14">
                  <c:v>7447.6929482455544</c:v>
                </c:pt>
                <c:pt idx="15">
                  <c:v>7084.3908532091864</c:v>
                </c:pt>
                <c:pt idx="16">
                  <c:v>6738.8108115892255</c:v>
                </c:pt>
                <c:pt idx="17">
                  <c:v>6410.0883329751168</c:v>
                </c:pt>
                <c:pt idx="18">
                  <c:v>6097.4010972202332</c:v>
                </c:pt>
                <c:pt idx="19">
                  <c:v>5799.966897355831</c:v>
                </c:pt>
                <c:pt idx="20">
                  <c:v>5517.0416828506686</c:v>
                </c:pt>
                <c:pt idx="21">
                  <c:v>5247.9176983213683</c:v>
                </c:pt>
                <c:pt idx="22">
                  <c:v>4991.9217130373991</c:v>
                </c:pt>
                <c:pt idx="23">
                  <c:v>4748.4133367916729</c:v>
                </c:pt>
                <c:pt idx="24">
                  <c:v>4516.7834179237861</c:v>
                </c:pt>
                <c:pt idx="25">
                  <c:v>4296.4525194884791</c:v>
                </c:pt>
                <c:pt idx="26">
                  <c:v>4086.8694697573337</c:v>
                </c:pt>
                <c:pt idx="27">
                  <c:v>3887.5099834277075</c:v>
                </c:pt>
                <c:pt idx="28">
                  <c:v>3697.8753500897706</c:v>
                </c:pt>
                <c:pt idx="29">
                  <c:v>3517.4911866707575</c:v>
                </c:pt>
                <c:pt idx="30">
                  <c:v>3345.9062507355989</c:v>
                </c:pt>
                <c:pt idx="31">
                  <c:v>3182.6913116753258</c:v>
                </c:pt>
                <c:pt idx="32">
                  <c:v>3027.4380769594563</c:v>
                </c:pt>
                <c:pt idx="33">
                  <c:v>2879.7581707663117</c:v>
                </c:pt>
                <c:pt idx="34">
                  <c:v>2739.2821624362477</c:v>
                </c:pt>
              </c:numCache>
            </c:numRef>
          </c:val>
        </c:ser>
        <c:dLbls>
          <c:showLegendKey val="0"/>
          <c:showVal val="0"/>
          <c:showCatName val="0"/>
          <c:showSerName val="0"/>
          <c:showPercent val="0"/>
          <c:showBubbleSize val="0"/>
        </c:dLbls>
        <c:axId val="159746688"/>
        <c:axId val="159764864"/>
      </c:areaChart>
      <c:lineChart>
        <c:grouping val="standard"/>
        <c:varyColors val="0"/>
        <c:ser>
          <c:idx val="6"/>
          <c:order val="4"/>
          <c:tx>
            <c:v>Current portfolio</c:v>
          </c:tx>
          <c:spPr>
            <a:ln w="38100">
              <a:solidFill>
                <a:schemeClr val="tx1"/>
              </a:solidFill>
              <a:prstDash val="sysDash"/>
            </a:ln>
          </c:spPr>
          <c:marker>
            <c:symbol val="none"/>
          </c:marker>
          <c:val>
            <c:numRef>
              <c:f>'Age Pension additional calcs'!$V$10:$V$44</c:f>
              <c:numCache>
                <c:formatCode>0</c:formatCode>
                <c:ptCount val="35"/>
                <c:pt idx="0">
                  <c:v>865000</c:v>
                </c:pt>
                <c:pt idx="1">
                  <c:v>804654.72759782162</c:v>
                </c:pt>
                <c:pt idx="2">
                  <c:v>743100.1360657867</c:v>
                </c:pt>
                <c:pt idx="3">
                  <c:v>684365.94996721239</c:v>
                </c:pt>
                <c:pt idx="4">
                  <c:v>629426.34554600413</c:v>
                </c:pt>
                <c:pt idx="5">
                  <c:v>578063.18057462689</c:v>
                </c:pt>
                <c:pt idx="6">
                  <c:v>530054.92562480597</c:v>
                </c:pt>
                <c:pt idx="7">
                  <c:v>485176.60230928601</c:v>
                </c:pt>
                <c:pt idx="8">
                  <c:v>443239.0385069552</c:v>
                </c:pt>
                <c:pt idx="9">
                  <c:v>404059.97937056731</c:v>
                </c:pt>
                <c:pt idx="10">
                  <c:v>368340.83047578769</c:v>
                </c:pt>
                <c:pt idx="11">
                  <c:v>333388.10261332022</c:v>
                </c:pt>
                <c:pt idx="12">
                  <c:v>298825.53291036014</c:v>
                </c:pt>
                <c:pt idx="13">
                  <c:v>264648.26759064652</c:v>
                </c:pt>
                <c:pt idx="14">
                  <c:v>230622.57262697344</c:v>
                </c:pt>
                <c:pt idx="15">
                  <c:v>196441.88322269981</c:v>
                </c:pt>
                <c:pt idx="16">
                  <c:v>162104.66678182402</c:v>
                </c:pt>
                <c:pt idx="17">
                  <c:v>127609.44049905785</c:v>
                </c:pt>
                <c:pt idx="18">
                  <c:v>92954.749551935107</c:v>
                </c:pt>
                <c:pt idx="19">
                  <c:v>58139.165389760587</c:v>
                </c:pt>
                <c:pt idx="20">
                  <c:v>23161.303626660188</c:v>
                </c:pt>
                <c:pt idx="21">
                  <c:v>5247.9176983213683</c:v>
                </c:pt>
                <c:pt idx="22">
                  <c:v>4991.9217130373991</c:v>
                </c:pt>
                <c:pt idx="23">
                  <c:v>4748.4133367916729</c:v>
                </c:pt>
                <c:pt idx="24">
                  <c:v>4516.7834179237861</c:v>
                </c:pt>
                <c:pt idx="25">
                  <c:v>4296.4525194884791</c:v>
                </c:pt>
                <c:pt idx="26">
                  <c:v>4086.8694697573337</c:v>
                </c:pt>
                <c:pt idx="27">
                  <c:v>3887.5099834277075</c:v>
                </c:pt>
                <c:pt idx="28">
                  <c:v>3697.8753500897706</c:v>
                </c:pt>
                <c:pt idx="29">
                  <c:v>3517.4911866707575</c:v>
                </c:pt>
                <c:pt idx="30">
                  <c:v>3345.9062507355989</c:v>
                </c:pt>
                <c:pt idx="31">
                  <c:v>3182.6913116753258</c:v>
                </c:pt>
                <c:pt idx="32">
                  <c:v>3027.4380769594563</c:v>
                </c:pt>
                <c:pt idx="33">
                  <c:v>2879.7581707663117</c:v>
                </c:pt>
                <c:pt idx="34">
                  <c:v>2739.2821624362477</c:v>
                </c:pt>
              </c:numCache>
            </c:numRef>
          </c:val>
          <c:smooth val="0"/>
        </c:ser>
        <c:dLbls>
          <c:showLegendKey val="0"/>
          <c:showVal val="0"/>
          <c:showCatName val="0"/>
          <c:showSerName val="0"/>
          <c:showPercent val="0"/>
          <c:showBubbleSize val="0"/>
        </c:dLbls>
        <c:marker val="1"/>
        <c:smooth val="0"/>
        <c:axId val="159746688"/>
        <c:axId val="159764864"/>
      </c:lineChart>
      <c:catAx>
        <c:axId val="159746688"/>
        <c:scaling>
          <c:orientation val="minMax"/>
        </c:scaling>
        <c:delete val="0"/>
        <c:axPos val="b"/>
        <c:numFmt formatCode="General" sourceLinked="1"/>
        <c:majorTickMark val="none"/>
        <c:minorTickMark val="none"/>
        <c:tickLblPos val="nextTo"/>
        <c:spPr>
          <a:ln>
            <a:solidFill>
              <a:schemeClr val="bg1">
                <a:lumMod val="85000"/>
              </a:schemeClr>
            </a:solidFill>
          </a:ln>
        </c:spPr>
        <c:crossAx val="159764864"/>
        <c:crosses val="autoZero"/>
        <c:auto val="1"/>
        <c:lblAlgn val="ctr"/>
        <c:lblOffset val="100"/>
        <c:tickLblSkip val="2"/>
        <c:noMultiLvlLbl val="1"/>
      </c:catAx>
      <c:valAx>
        <c:axId val="159764864"/>
        <c:scaling>
          <c:orientation val="minMax"/>
        </c:scaling>
        <c:delete val="0"/>
        <c:axPos val="l"/>
        <c:majorGridlines>
          <c:spPr>
            <a:ln>
              <a:solidFill>
                <a:schemeClr val="bg1">
                  <a:lumMod val="85000"/>
                </a:schemeClr>
              </a:solidFill>
            </a:ln>
          </c:spPr>
        </c:majorGridlines>
        <c:numFmt formatCode="&quot;$&quot;#,##0" sourceLinked="0"/>
        <c:majorTickMark val="out"/>
        <c:minorTickMark val="none"/>
        <c:tickLblPos val="nextTo"/>
        <c:spPr>
          <a:ln>
            <a:solidFill>
              <a:schemeClr val="tx1">
                <a:lumMod val="15000"/>
                <a:lumOff val="85000"/>
              </a:schemeClr>
            </a:solidFill>
          </a:ln>
        </c:spPr>
        <c:crossAx val="159746688"/>
        <c:crosses val="autoZero"/>
        <c:crossBetween val="between"/>
      </c:valAx>
      <c:spPr>
        <a:solidFill>
          <a:schemeClr val="bg1"/>
        </a:solidFill>
        <a:ln w="6350" cap="flat" cmpd="sng" algn="ctr">
          <a:solidFill>
            <a:schemeClr val="bg1">
              <a:lumMod val="85000"/>
            </a:schemeClr>
          </a:solidFill>
          <a:prstDash val="solid"/>
        </a:ln>
        <a:effectLst/>
      </c:spPr>
    </c:plotArea>
    <c:legend>
      <c:legendPos val="b"/>
      <c:legendEntry>
        <c:idx val="0"/>
        <c:delete val="1"/>
      </c:legendEntry>
      <c:legendEntry>
        <c:idx val="2"/>
        <c:txPr>
          <a:bodyPr/>
          <a:lstStyle/>
          <a:p>
            <a:pPr>
              <a:defRPr sz="1400"/>
            </a:pPr>
            <a:endParaRPr lang="en-US"/>
          </a:p>
        </c:txPr>
      </c:legendEntry>
      <c:layout>
        <c:manualLayout>
          <c:xMode val="edge"/>
          <c:yMode val="edge"/>
          <c:x val="8.6165925674310667E-2"/>
          <c:y val="0.86528901092805233"/>
          <c:w val="0.89444705126144941"/>
          <c:h val="0.1056633330400634"/>
        </c:manualLayout>
      </c:layout>
      <c:overlay val="0"/>
      <c:txPr>
        <a:bodyPr/>
        <a:lstStyle/>
        <a:p>
          <a:pPr>
            <a:defRPr sz="1400"/>
          </a:pPr>
          <a:endParaRPr lang="en-US"/>
        </a:p>
      </c:txPr>
    </c:legend>
    <c:plotVisOnly val="1"/>
    <c:dispBlanksAs val="zero"/>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F$9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REF!"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png"/><Relationship Id="rId1" Type="http://schemas.openxmlformats.org/officeDocument/2006/relationships/chart" Target="../charts/chart4.xml"/><Relationship Id="rId6" Type="http://schemas.openxmlformats.org/officeDocument/2006/relationships/image" Target="../media/image5.wmf"/><Relationship Id="rId5" Type="http://schemas.openxmlformats.org/officeDocument/2006/relationships/image" Target="../media/image4.wmf"/><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5.wmf"/><Relationship Id="rId2" Type="http://schemas.openxmlformats.org/officeDocument/2006/relationships/image" Target="../media/image4.wmf"/><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3" Type="http://schemas.openxmlformats.org/officeDocument/2006/relationships/image" Target="../media/image5.wmf"/><Relationship Id="rId2" Type="http://schemas.openxmlformats.org/officeDocument/2006/relationships/image" Target="../media/image4.wmf"/><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561975</xdr:colOff>
          <xdr:row>1</xdr:row>
          <xdr:rowOff>76200</xdr:rowOff>
        </xdr:from>
        <xdr:to>
          <xdr:col>4</xdr:col>
          <xdr:colOff>1409700</xdr:colOff>
          <xdr:row>2</xdr:row>
          <xdr:rowOff>38100</xdr:rowOff>
        </xdr:to>
        <xdr:sp macro="" textlink="">
          <xdr:nvSpPr>
            <xdr:cNvPr id="50179" name="Button 3" hidden="1">
              <a:extLst>
                <a:ext uri="{63B3BB69-23CF-44E3-9099-C40C66FF867C}">
                  <a14:compatExt spid="_x0000_s501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Load Input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1581150</xdr:colOff>
          <xdr:row>1</xdr:row>
          <xdr:rowOff>76200</xdr:rowOff>
        </xdr:from>
        <xdr:to>
          <xdr:col>4</xdr:col>
          <xdr:colOff>428625</xdr:colOff>
          <xdr:row>2</xdr:row>
          <xdr:rowOff>47625</xdr:rowOff>
        </xdr:to>
        <xdr:sp macro="" textlink="">
          <xdr:nvSpPr>
            <xdr:cNvPr id="50180" name="Button 4" hidden="1">
              <a:extLst>
                <a:ext uri="{63B3BB69-23CF-44E3-9099-C40C66FF867C}">
                  <a14:compatExt spid="_x0000_s501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Save Input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52</xdr:col>
          <xdr:colOff>314325</xdr:colOff>
          <xdr:row>0</xdr:row>
          <xdr:rowOff>295275</xdr:rowOff>
        </xdr:from>
        <xdr:to>
          <xdr:col>54</xdr:col>
          <xdr:colOff>619125</xdr:colOff>
          <xdr:row>2</xdr:row>
          <xdr:rowOff>0</xdr:rowOff>
        </xdr:to>
        <xdr:sp macro="" textlink="">
          <xdr:nvSpPr>
            <xdr:cNvPr id="120872" name="Button 40" hidden="1">
              <a:extLst>
                <a:ext uri="{63B3BB69-23CF-44E3-9099-C40C66FF867C}">
                  <a14:compatExt spid="_x0000_s1208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-6858000</xdr:colOff>
          <xdr:row>0</xdr:row>
          <xdr:rowOff>-3890367</xdr:rowOff>
        </xdr:from>
        <xdr:to>
          <xdr:col>0</xdr:col>
          <xdr:colOff>0</xdr:colOff>
          <xdr:row>4</xdr:row>
          <xdr:rowOff>114276</xdr:rowOff>
        </xdr:to>
        <xdr:grpSp>
          <xdr:nvGrpSpPr>
            <xdr:cNvPr id="4" name="Group 3"/>
            <xdr:cNvGrpSpPr/>
          </xdr:nvGrpSpPr>
          <xdr:grpSpPr>
            <a:xfrm>
              <a:off x="-6858000" y="-3890367"/>
              <a:ext cx="6858000" cy="4867496"/>
              <a:chOff x="-6861557" y="-3855655"/>
              <a:chExt cx="6861557" cy="4931954"/>
            </a:xfrm>
          </xdr:grpSpPr>
          <xdr:grpSp>
            <xdr:nvGrpSpPr>
              <xdr:cNvPr id="6" name="Group 5"/>
              <xdr:cNvGrpSpPr/>
            </xdr:nvGrpSpPr>
            <xdr:grpSpPr>
              <a:xfrm>
                <a:off x="-6861557" y="-3855655"/>
                <a:ext cx="0" cy="4931954"/>
                <a:chOff x="-4131171" y="-2948266"/>
                <a:chExt cx="0" cy="4305682"/>
              </a:xfrm>
            </xdr:grpSpPr>
            <xdr:grpSp>
              <xdr:nvGrpSpPr>
                <xdr:cNvPr id="3" name="Group 2"/>
                <xdr:cNvGrpSpPr/>
              </xdr:nvGrpSpPr>
              <xdr:grpSpPr>
                <a:xfrm>
                  <a:off x="-4131171" y="-2948266"/>
                  <a:ext cx="0" cy="4161969"/>
                  <a:chOff x="0" y="178700"/>
                  <a:chExt cx="0" cy="8172841"/>
                </a:xfrm>
                <a:solidFill>
                  <a:schemeClr val="bg1"/>
                </a:solidFill>
              </xdr:grpSpPr>
              <xdr:sp macro="" textlink="">
                <xdr:nvSpPr>
                  <xdr:cNvPr id="120868" name="Option Button 36" hidden="1">
                    <a:extLst>
                      <a:ext uri="{63B3BB69-23CF-44E3-9099-C40C66FF867C}">
                        <a14:compatExt spid="_x0000_s120868"/>
                      </a:ext>
                    </a:extLst>
                  </xdr:cNvPr>
                  <xdr:cNvSpPr/>
                </xdr:nvSpPr>
                <xdr:spPr>
                  <a:xfrm>
                    <a:off x="0" y="178700"/>
                    <a:ext cx="0" cy="555182"/>
                  </a:xfrm>
                  <a:prstGeom prst="rect">
                    <a:avLst/>
                  </a:prstGeom>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Poor</a:t>
                    </a:r>
                  </a:p>
                </xdr:txBody>
              </xdr:sp>
              <xdr:sp macro="" textlink="">
                <xdr:nvSpPr>
                  <xdr:cNvPr id="120869" name="Option Button 37" hidden="1">
                    <a:extLst>
                      <a:ext uri="{63B3BB69-23CF-44E3-9099-C40C66FF867C}">
                        <a14:compatExt spid="_x0000_s120869"/>
                      </a:ext>
                    </a:extLst>
                  </xdr:cNvPr>
                  <xdr:cNvSpPr/>
                </xdr:nvSpPr>
                <xdr:spPr>
                  <a:xfrm>
                    <a:off x="0" y="317936"/>
                    <a:ext cx="0" cy="266686"/>
                  </a:xfrm>
                  <a:prstGeom prst="rect">
                    <a:avLst/>
                  </a:prstGeom>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Average</a:t>
                    </a:r>
                  </a:p>
                </xdr:txBody>
              </xdr:sp>
              <xdr:sp macro="" textlink="">
                <xdr:nvSpPr>
                  <xdr:cNvPr id="120870" name="Option Button 38" hidden="1">
                    <a:extLst>
                      <a:ext uri="{63B3BB69-23CF-44E3-9099-C40C66FF867C}">
                        <a14:compatExt spid="_x0000_s120870"/>
                      </a:ext>
                    </a:extLst>
                  </xdr:cNvPr>
                  <xdr:cNvSpPr/>
                </xdr:nvSpPr>
                <xdr:spPr>
                  <a:xfrm>
                    <a:off x="0" y="8084853"/>
                    <a:ext cx="0" cy="266688"/>
                  </a:xfrm>
                  <a:prstGeom prst="rect">
                    <a:avLst/>
                  </a:prstGeom>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Excellent</a:t>
                    </a:r>
                  </a:p>
                </xdr:txBody>
              </xdr:sp>
            </xdr:grpSp>
            <xdr:sp macro="" textlink="">
              <xdr:nvSpPr>
                <xdr:cNvPr id="120871" name="Group Box 39" hidden="1">
                  <a:extLst>
                    <a:ext uri="{63B3BB69-23CF-44E3-9099-C40C66FF867C}">
                      <a14:compatExt spid="_x0000_s120871"/>
                    </a:ext>
                  </a:extLst>
                </xdr:cNvPr>
                <xdr:cNvSpPr/>
              </xdr:nvSpPr>
              <xdr:spPr>
                <a:xfrm>
                  <a:off x="-4131171" y="908386"/>
                  <a:ext cx="0" cy="449030"/>
                </a:xfrm>
                <a:prstGeom prst="rect">
                  <a:avLst/>
                </a:prstGeom>
              </xdr:spPr>
              <xdr:txBody>
                <a:bodyPr vertOverflow="clip" wrap="none" lIns="27432" tIns="18288" rIns="0" bIns="0" anchor="t" upright="1"/>
                <a:lstStyle/>
                <a:p>
                  <a:pPr algn="l" rtl="0">
                    <a:defRPr sz="1000"/>
                  </a:pPr>
                  <a:r>
                    <a:rPr lang="en-AU" sz="800" b="0" i="0" u="none" strike="noStrike" baseline="0">
                      <a:solidFill>
                        <a:srgbClr val="000000"/>
                      </a:solidFill>
                      <a:latin typeface="Tahoma"/>
                      <a:ea typeface="Tahoma"/>
                      <a:cs typeface="Tahoma"/>
                    </a:rPr>
                    <a:t>Market conditions</a:t>
                  </a:r>
                </a:p>
              </xdr:txBody>
            </xdr:sp>
          </xdr:grpSp>
          <xdr:sp macro="" textlink="">
            <xdr:nvSpPr>
              <xdr:cNvPr id="120873" name="Check Box 41" hidden="1">
                <a:extLst>
                  <a:ext uri="{63B3BB69-23CF-44E3-9099-C40C66FF867C}">
                    <a14:compatExt spid="_x0000_s120873"/>
                  </a:ext>
                </a:extLst>
              </xdr:cNvPr>
              <xdr:cNvSpPr/>
            </xdr:nvSpPr>
            <xdr:spPr>
              <a:xfrm>
                <a:off x="0" y="676274"/>
                <a:ext cx="0" cy="323850"/>
              </a:xfrm>
              <a:prstGeom prst="rect">
                <a:avLst/>
              </a:prstGeom>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Illustrate GFC</a:t>
                </a:r>
              </a:p>
            </xdr:txBody>
          </xdr:sp>
        </xdr:grpSp>
        <xdr:clientData/>
      </xdr:twoCellAnchor>
    </mc:Choice>
    <mc:Fallback/>
  </mc:AlternateContent>
  <xdr:twoCellAnchor editAs="oneCell">
    <xdr:from>
      <xdr:col>55</xdr:col>
      <xdr:colOff>578783</xdr:colOff>
      <xdr:row>0</xdr:row>
      <xdr:rowOff>247651</xdr:rowOff>
    </xdr:from>
    <xdr:to>
      <xdr:col>60</xdr:col>
      <xdr:colOff>176537</xdr:colOff>
      <xdr:row>3</xdr:row>
      <xdr:rowOff>201706</xdr:rowOff>
    </xdr:to>
    <xdr:pic>
      <xdr:nvPicPr>
        <xdr:cNvPr id="31" name="Picture 30"/>
        <xdr:cNvPicPr>
          <a:picLocks noChangeAspect="1"/>
        </xdr:cNvPicPr>
      </xdr:nvPicPr>
      <xdr:blipFill>
        <a:blip xmlns:r="http://schemas.openxmlformats.org/officeDocument/2006/relationships" r:embed="rId1"/>
        <a:stretch>
          <a:fillRect/>
        </a:stretch>
      </xdr:blipFill>
      <xdr:spPr>
        <a:xfrm>
          <a:off x="15661901" y="247651"/>
          <a:ext cx="2208724" cy="581584"/>
        </a:xfrm>
        <a:prstGeom prst="rect">
          <a:avLst/>
        </a:prstGeom>
      </xdr:spPr>
    </xdr:pic>
    <xdr:clientData/>
  </xdr:twoCellAnchor>
  <xdr:twoCellAnchor>
    <xdr:from>
      <xdr:col>39</xdr:col>
      <xdr:colOff>209549</xdr:colOff>
      <xdr:row>13</xdr:row>
      <xdr:rowOff>28574</xdr:rowOff>
    </xdr:from>
    <xdr:to>
      <xdr:col>60</xdr:col>
      <xdr:colOff>133350</xdr:colOff>
      <xdr:row>54</xdr:row>
      <xdr:rowOff>142874</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161925</xdr:colOff>
      <xdr:row>34</xdr:row>
      <xdr:rowOff>57150</xdr:rowOff>
    </xdr:from>
    <xdr:to>
      <xdr:col>40</xdr:col>
      <xdr:colOff>19049</xdr:colOff>
      <xdr:row>48</xdr:row>
      <xdr:rowOff>180975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76200</xdr:colOff>
      <xdr:row>0</xdr:row>
      <xdr:rowOff>142875</xdr:rowOff>
    </xdr:from>
    <xdr:to>
      <xdr:col>14</xdr:col>
      <xdr:colOff>314325</xdr:colOff>
      <xdr:row>4</xdr:row>
      <xdr:rowOff>57150</xdr:rowOff>
    </xdr:to>
    <xdr:sp macro="" textlink="">
      <xdr:nvSpPr>
        <xdr:cNvPr id="2" name="Rectangle 1"/>
        <xdr:cNvSpPr/>
      </xdr:nvSpPr>
      <xdr:spPr>
        <a:xfrm>
          <a:off x="76200" y="142875"/>
          <a:ext cx="238125" cy="790575"/>
        </a:xfrm>
        <a:prstGeom prst="rect">
          <a:avLst/>
        </a:prstGeom>
        <a:solidFill>
          <a:schemeClr val="bg1"/>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16</xdr:col>
          <xdr:colOff>200025</xdr:colOff>
          <xdr:row>75</xdr:row>
          <xdr:rowOff>123825</xdr:rowOff>
        </xdr:from>
        <xdr:to>
          <xdr:col>22</xdr:col>
          <xdr:colOff>323850</xdr:colOff>
          <xdr:row>77</xdr:row>
          <xdr:rowOff>47625</xdr:rowOff>
        </xdr:to>
        <xdr:sp macro="" textlink="">
          <xdr:nvSpPr>
            <xdr:cNvPr id="120874" name="Button 42" hidden="1">
              <a:extLst>
                <a:ext uri="{63B3BB69-23CF-44E3-9099-C40C66FF867C}">
                  <a14:compatExt spid="_x0000_s1208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85725</xdr:rowOff>
        </xdr:from>
        <xdr:to>
          <xdr:col>30</xdr:col>
          <xdr:colOff>209550</xdr:colOff>
          <xdr:row>54</xdr:row>
          <xdr:rowOff>95250</xdr:rowOff>
        </xdr:to>
        <xdr:sp macro="" textlink="">
          <xdr:nvSpPr>
            <xdr:cNvPr id="120878" name="Button 46" hidden="1">
              <a:extLst>
                <a:ext uri="{63B3BB69-23CF-44E3-9099-C40C66FF867C}">
                  <a14:compatExt spid="_x0000_s1208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rPr>
                <a:t>Calculate</a:t>
              </a:r>
            </a:p>
          </xdr:txBody>
        </xdr:sp>
        <xdr:clientData fPrintsWithSheet="0"/>
      </xdr:twoCellAnchor>
    </mc:Choice>
    <mc:Fallback/>
  </mc:AlternateContent>
  <xdr:twoCellAnchor>
    <xdr:from>
      <xdr:col>45</xdr:col>
      <xdr:colOff>323850</xdr:colOff>
      <xdr:row>4</xdr:row>
      <xdr:rowOff>361950</xdr:rowOff>
    </xdr:from>
    <xdr:to>
      <xdr:col>45</xdr:col>
      <xdr:colOff>552450</xdr:colOff>
      <xdr:row>13</xdr:row>
      <xdr:rowOff>19050</xdr:rowOff>
    </xdr:to>
    <xdr:sp macro="" textlink="">
      <xdr:nvSpPr>
        <xdr:cNvPr id="5" name="Right Brace 4"/>
        <xdr:cNvSpPr/>
      </xdr:nvSpPr>
      <xdr:spPr>
        <a:xfrm>
          <a:off x="9001125" y="1238250"/>
          <a:ext cx="228600" cy="1028700"/>
        </a:xfrm>
        <a:prstGeom prst="rightBrace">
          <a:avLst>
            <a:gd name="adj1" fmla="val 0"/>
            <a:gd name="adj2" fmla="val 50000"/>
          </a:avLst>
        </a:prstGeom>
        <a:ln>
          <a:solidFill>
            <a:schemeClr val="tx1">
              <a:lumMod val="85000"/>
              <a:lumOff val="15000"/>
            </a:schemeClr>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15</xdr:col>
          <xdr:colOff>152400</xdr:colOff>
          <xdr:row>27</xdr:row>
          <xdr:rowOff>47625</xdr:rowOff>
        </xdr:from>
        <xdr:to>
          <xdr:col>23</xdr:col>
          <xdr:colOff>581025</xdr:colOff>
          <xdr:row>28</xdr:row>
          <xdr:rowOff>95250</xdr:rowOff>
        </xdr:to>
        <xdr:sp macro="" textlink="">
          <xdr:nvSpPr>
            <xdr:cNvPr id="120879" name="Button 47" hidden="1">
              <a:extLst>
                <a:ext uri="{63B3BB69-23CF-44E3-9099-C40C66FF867C}">
                  <a14:compatExt spid="_x0000_s1208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Not sure?  Click to use our spend planner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20</xdr:col>
      <xdr:colOff>342900</xdr:colOff>
      <xdr:row>22</xdr:row>
      <xdr:rowOff>57150</xdr:rowOff>
    </xdr:from>
    <xdr:to>
      <xdr:col>22</xdr:col>
      <xdr:colOff>514350</xdr:colOff>
      <xdr:row>23</xdr:row>
      <xdr:rowOff>514350</xdr:rowOff>
    </xdr:to>
    <xdr:sp macro="[0]!runAgePensionCalculator" textlink="">
      <xdr:nvSpPr>
        <xdr:cNvPr id="6" name="Rectangle 5"/>
        <xdr:cNvSpPr/>
      </xdr:nvSpPr>
      <xdr:spPr>
        <a:xfrm>
          <a:off x="11972925" y="3495675"/>
          <a:ext cx="1228725" cy="600075"/>
        </a:xfrm>
        <a:prstGeom prst="rect">
          <a:avLst/>
        </a:prstGeom>
        <a:solidFill>
          <a:schemeClr val="bg1">
            <a:lumMod val="95000"/>
          </a:schemeClr>
        </a:solidFill>
        <a:ln>
          <a:solidFill>
            <a:schemeClr val="tx1">
              <a:lumMod val="75000"/>
              <a:lumOff val="2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AU" sz="1400" b="1"/>
            <a:t>Apply changes</a:t>
          </a:r>
        </a:p>
      </xdr:txBody>
    </xdr:sp>
    <xdr:clientData fLocksWithSheet="0"/>
  </xdr:twoCellAnchor>
  <xdr:twoCellAnchor editAs="oneCell">
    <xdr:from>
      <xdr:col>17</xdr:col>
      <xdr:colOff>276225</xdr:colOff>
      <xdr:row>0</xdr:row>
      <xdr:rowOff>95250</xdr:rowOff>
    </xdr:from>
    <xdr:to>
      <xdr:col>19</xdr:col>
      <xdr:colOff>270234</xdr:colOff>
      <xdr:row>2</xdr:row>
      <xdr:rowOff>76200</xdr:rowOff>
    </xdr:to>
    <xdr:pic>
      <xdr:nvPicPr>
        <xdr:cNvPr id="8" name="Picture 7"/>
        <xdr:cNvPicPr>
          <a:picLocks noChangeAspect="1"/>
        </xdr:cNvPicPr>
      </xdr:nvPicPr>
      <xdr:blipFill>
        <a:blip xmlns:r="http://schemas.openxmlformats.org/officeDocument/2006/relationships" r:embed="rId1"/>
        <a:stretch>
          <a:fillRect/>
        </a:stretch>
      </xdr:blipFill>
      <xdr:spPr>
        <a:xfrm>
          <a:off x="9439275" y="95250"/>
          <a:ext cx="2022834" cy="542925"/>
        </a:xfrm>
        <a:prstGeom prst="rect">
          <a:avLst/>
        </a:prstGeom>
      </xdr:spPr>
    </xdr:pic>
    <xdr:clientData/>
  </xdr:twoCellAnchor>
  <xdr:twoCellAnchor>
    <xdr:from>
      <xdr:col>21</xdr:col>
      <xdr:colOff>19050</xdr:colOff>
      <xdr:row>68</xdr:row>
      <xdr:rowOff>76200</xdr:rowOff>
    </xdr:from>
    <xdr:to>
      <xdr:col>22</xdr:col>
      <xdr:colOff>561975</xdr:colOff>
      <xdr:row>70</xdr:row>
      <xdr:rowOff>247650</xdr:rowOff>
    </xdr:to>
    <xdr:sp macro="[0]!runAgePensionCalculator" textlink="">
      <xdr:nvSpPr>
        <xdr:cNvPr id="5" name="Rectangle 4"/>
        <xdr:cNvSpPr/>
      </xdr:nvSpPr>
      <xdr:spPr>
        <a:xfrm>
          <a:off x="12020550" y="8343900"/>
          <a:ext cx="1228725" cy="600075"/>
        </a:xfrm>
        <a:prstGeom prst="rect">
          <a:avLst/>
        </a:prstGeom>
        <a:solidFill>
          <a:schemeClr val="bg1">
            <a:lumMod val="95000"/>
          </a:schemeClr>
        </a:solidFill>
        <a:ln>
          <a:solidFill>
            <a:schemeClr val="tx1">
              <a:lumMod val="75000"/>
              <a:lumOff val="2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AU" sz="1400" b="1"/>
            <a:t>Apply changes</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609600</xdr:colOff>
      <xdr:row>5</xdr:row>
      <xdr:rowOff>19050</xdr:rowOff>
    </xdr:from>
    <xdr:to>
      <xdr:col>1</xdr:col>
      <xdr:colOff>1515948</xdr:colOff>
      <xdr:row>10</xdr:row>
      <xdr:rowOff>171450</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1104900"/>
          <a:ext cx="1592148" cy="11525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36</xdr:col>
      <xdr:colOff>662267</xdr:colOff>
      <xdr:row>0</xdr:row>
      <xdr:rowOff>134471</xdr:rowOff>
    </xdr:from>
    <xdr:to>
      <xdr:col>41</xdr:col>
      <xdr:colOff>80727</xdr:colOff>
      <xdr:row>2</xdr:row>
      <xdr:rowOff>45383</xdr:rowOff>
    </xdr:to>
    <xdr:pic>
      <xdr:nvPicPr>
        <xdr:cNvPr id="3" name="Picture 2"/>
        <xdr:cNvPicPr>
          <a:picLocks noChangeAspect="1"/>
        </xdr:cNvPicPr>
      </xdr:nvPicPr>
      <xdr:blipFill>
        <a:blip xmlns:r="http://schemas.openxmlformats.org/officeDocument/2006/relationships" r:embed="rId1"/>
        <a:stretch>
          <a:fillRect/>
        </a:stretch>
      </xdr:blipFill>
      <xdr:spPr>
        <a:xfrm>
          <a:off x="11823326" y="134471"/>
          <a:ext cx="2253548" cy="583265"/>
        </a:xfrm>
        <a:prstGeom prst="rect">
          <a:avLst/>
        </a:prstGeom>
      </xdr:spPr>
    </xdr:pic>
    <xdr:clientData/>
  </xdr:twoCellAnchor>
  <mc:AlternateContent xmlns:mc="http://schemas.openxmlformats.org/markup-compatibility/2006">
    <mc:Choice xmlns:a14="http://schemas.microsoft.com/office/drawing/2010/main" Requires="a14">
      <xdr:twoCellAnchor>
        <xdr:from>
          <xdr:col>36</xdr:col>
          <xdr:colOff>38100</xdr:colOff>
          <xdr:row>8</xdr:row>
          <xdr:rowOff>19050</xdr:rowOff>
        </xdr:from>
        <xdr:to>
          <xdr:col>37</xdr:col>
          <xdr:colOff>1019175</xdr:colOff>
          <xdr:row>9</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Go back to calculator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638175</xdr:colOff>
      <xdr:row>8</xdr:row>
      <xdr:rowOff>42862</xdr:rowOff>
    </xdr:from>
    <xdr:to>
      <xdr:col>13</xdr:col>
      <xdr:colOff>476250</xdr:colOff>
      <xdr:row>21</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104775</xdr:colOff>
      <xdr:row>4</xdr:row>
      <xdr:rowOff>9523</xdr:rowOff>
    </xdr:from>
    <xdr:to>
      <xdr:col>9</xdr:col>
      <xdr:colOff>342899</xdr:colOff>
      <xdr:row>61</xdr:row>
      <xdr:rowOff>28575</xdr:rowOff>
    </xdr:to>
    <xdr:sp macro="" textlink="">
      <xdr:nvSpPr>
        <xdr:cNvPr id="2" name="TextBox 1"/>
        <xdr:cNvSpPr txBox="1"/>
      </xdr:nvSpPr>
      <xdr:spPr>
        <a:xfrm>
          <a:off x="371475" y="1028698"/>
          <a:ext cx="11144249" cy="1485900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600"/>
            </a:spcAft>
          </a:pPr>
          <a:r>
            <a:rPr lang="en-AU" sz="1200" b="0" i="0" u="none" strike="noStrike" baseline="0" smtClean="0">
              <a:solidFill>
                <a:schemeClr val="dk1"/>
              </a:solidFill>
              <a:latin typeface="+mn-lt"/>
              <a:ea typeface="+mn-ea"/>
              <a:cs typeface="Arial" panose="020B0604020202020204" pitchFamily="34" charset="0"/>
            </a:rPr>
            <a:t>The Age Pension Calculator (the Calculator) is designed for use by licensed financial Advisers (Advisers). Use of the Calculator or its output is governed by these Terms of Use.  </a:t>
          </a:r>
        </a:p>
        <a:p>
          <a:pPr>
            <a:spcAft>
              <a:spcPts val="600"/>
            </a:spcAft>
          </a:pPr>
          <a:r>
            <a:rPr lang="en-AU" sz="1200" b="0" i="0" u="none" strike="noStrike" baseline="0" smtClean="0">
              <a:solidFill>
                <a:schemeClr val="dk1"/>
              </a:solidFill>
              <a:latin typeface="+mn-lt"/>
              <a:ea typeface="+mn-ea"/>
              <a:cs typeface="Arial" panose="020B0604020202020204" pitchFamily="34" charset="0"/>
            </a:rPr>
            <a:t>The Age Pension Calculator is designed and owned by Challenger Life Company Limited ABN 44 072 486 938 AFSL 234670 (Challenger Life). It is not intended as advice or to be relied upon for making a decision in relation to a particular financial product, fund or strategy. It provides illustrative amounts for general information only, based on the information you enter.</a:t>
          </a:r>
        </a:p>
        <a:p>
          <a:pPr>
            <a:spcAft>
              <a:spcPts val="600"/>
            </a:spcAft>
          </a:pPr>
          <a:r>
            <a:rPr lang="en-AU" sz="1200" b="0" i="0" u="none" strike="noStrike" baseline="0" smtClean="0">
              <a:solidFill>
                <a:schemeClr val="dk1"/>
              </a:solidFill>
              <a:latin typeface="+mn-lt"/>
              <a:ea typeface="+mn-ea"/>
              <a:cs typeface="Arial" panose="020B0604020202020204" pitchFamily="34" charset="0"/>
            </a:rPr>
            <a:t>The Calculator and its output are not a Statement of Advice, nor a substitute for a Statement of Advice. The Calculator output can only be passed on to a retail client as part of your own advice to your client. The Calculator is designed to assist you as part of your own advice process between you and your client. Use of the Calculator, including its output, is your responsibility. Challenger Life is not in a position to know or understand a particular individual’s financial situation, needs or objectives, and accordingly Challenger Life is not in a position to provide any individual with personal advice. Challenger Life and its related bodies corporate (we or us) accept no responsibility for any failure on your part to provide advice to your clients to the standard required by law. You hold us harmless for any use of the Calculator, including the provision of the outputs to any other person, and you will indemnify us for any such loss or liability that arises in connection with that use.</a:t>
          </a:r>
        </a:p>
        <a:p>
          <a:pPr>
            <a:spcAft>
              <a:spcPts val="600"/>
            </a:spcAft>
          </a:pPr>
          <a:r>
            <a:rPr lang="en-AU" sz="1200" b="0" i="0" u="none" strike="noStrike" baseline="0" smtClean="0">
              <a:solidFill>
                <a:schemeClr val="dk1"/>
              </a:solidFill>
              <a:latin typeface="+mn-lt"/>
              <a:ea typeface="+mn-ea"/>
              <a:cs typeface="Arial" panose="020B0604020202020204" pitchFamily="34" charset="0"/>
            </a:rPr>
            <a:t>The information in the Calculator relies on information which is subject to change without notice. Accordingly, while Challenger Life have exercised due care in designing the Calculator, no warranty can be provided in regard to the accuracy, reliability or suitability of the information. The results obtained from use of the Calculator will depend upon the assumptions selected and the data you input. It is probable that actual future experience will differ from the output obtained from the Calculator. Results will differ if there is a change to the annuity payment rate between the date of illustration and the actual investment date.</a:t>
          </a:r>
        </a:p>
        <a:p>
          <a:pPr>
            <a:spcAft>
              <a:spcPts val="600"/>
            </a:spcAft>
          </a:pPr>
          <a:r>
            <a:rPr lang="en-AU" sz="1200" b="0" i="0" u="none" strike="noStrike" baseline="0" smtClean="0">
              <a:solidFill>
                <a:schemeClr val="dk1"/>
              </a:solidFill>
              <a:latin typeface="+mn-lt"/>
              <a:ea typeface="+mn-ea"/>
              <a:cs typeface="Arial" panose="020B0604020202020204" pitchFamily="34" charset="0"/>
            </a:rPr>
            <a:t>The Challenger Guaranteed Annuity (Liquid Lifetime) (the Annuity) is offered by Challenger Life. A copy of the current PDS for the Annuity can be downloaded from www.challenger.com.au. Reference should be made to the PDS, which includes important information regarding the risks of investing in the Annuity including about the regular payments, terms for the withdrawal period (including the impact of withdrawal before the end of the withdrawal period) and about the guarantees provided by Challenger Life. Where a person acquires an Annuity, Challenger Life will receive the fees and/or other benefits disclosed in the relevant PDS. Neither Challenger Life nor its employees receive any specific remuneration for any advice provided. Some or all of the Challenger group of companies and their directors may benefit from fees, commissions and other benefits received by another group company.</a:t>
          </a:r>
        </a:p>
        <a:p>
          <a:pPr>
            <a:spcAft>
              <a:spcPts val="600"/>
            </a:spcAft>
          </a:pPr>
          <a:r>
            <a:rPr lang="en-AU" sz="1200" b="0" i="0" u="none" strike="noStrike" baseline="0" smtClean="0">
              <a:solidFill>
                <a:schemeClr val="dk1"/>
              </a:solidFill>
              <a:latin typeface="+mn-lt"/>
              <a:ea typeface="+mn-ea"/>
              <a:cs typeface="Arial" panose="020B0604020202020204" pitchFamily="34" charset="0"/>
            </a:rPr>
            <a:t>By accessing the Calculator, you agree to the Terms of Use. </a:t>
          </a:r>
        </a:p>
        <a:p>
          <a:pPr>
            <a:spcAft>
              <a:spcPts val="600"/>
            </a:spcAft>
          </a:pPr>
          <a:endParaRPr lang="en-AU" sz="1400" b="0" i="0" u="none" strike="noStrike" baseline="0" smtClean="0">
            <a:solidFill>
              <a:schemeClr val="dk1"/>
            </a:solidFill>
            <a:latin typeface="+mn-lt"/>
            <a:ea typeface="+mn-ea"/>
            <a:cs typeface="Arial" panose="020B0604020202020204" pitchFamily="34" charset="0"/>
          </a:endParaRPr>
        </a:p>
        <a:p>
          <a:pPr>
            <a:spcAft>
              <a:spcPts val="600"/>
            </a:spcAft>
          </a:pPr>
          <a:r>
            <a:rPr lang="en-AU" sz="1600" b="1" i="0" baseline="0">
              <a:solidFill>
                <a:schemeClr val="dk1"/>
              </a:solidFill>
              <a:effectLst/>
              <a:latin typeface="+mn-lt"/>
              <a:ea typeface="+mn-ea"/>
              <a:cs typeface="+mn-cs"/>
            </a:rPr>
            <a:t>Assumptions</a:t>
          </a:r>
        </a:p>
        <a:p>
          <a:r>
            <a:rPr lang="en-AU" sz="1200" b="1" i="0" baseline="0">
              <a:solidFill>
                <a:schemeClr val="dk1"/>
              </a:solidFill>
              <a:effectLst/>
              <a:latin typeface="+mn-lt"/>
              <a:ea typeface="+mn-ea"/>
              <a:cs typeface="+mn-cs"/>
            </a:rPr>
            <a:t>Government Age Pension</a:t>
          </a:r>
          <a:endParaRPr lang="en-AU" sz="1200">
            <a:effectLst/>
          </a:endParaRPr>
        </a:p>
        <a:p>
          <a:pPr>
            <a:spcAft>
              <a:spcPts val="600"/>
            </a:spcAft>
          </a:pPr>
          <a:r>
            <a:rPr lang="en-AU" sz="1200" b="0" i="0" baseline="0">
              <a:solidFill>
                <a:schemeClr val="dk1"/>
              </a:solidFill>
              <a:effectLst/>
              <a:latin typeface="+mn-lt"/>
              <a:ea typeface="+mn-ea"/>
              <a:cs typeface="+mn-cs"/>
            </a:rPr>
            <a:t>The Government Age Pension amounts illustrated are based on current law. Any future changes to legislation will alter the Age Pension amounts projected. It is important to note that the Government Age Pension amounts projected are illustrations only and are not a guarantee that a person will be entitled to the Government Age Pension. Eligibility for Government Age Pension entitlements will vary depending on personal circumstances, including the future value of investments and changes to marital status. To check eligibility for the Government Age Pension, go to www.humanservices.gov.au. Unless otherwise stated all amounts are shown in 'today's dollars'. This means that illustrations take into account the impact of inflation between the time of the illustration and the future date.</a:t>
          </a:r>
          <a:endParaRPr lang="en-AU" sz="1200">
            <a:effectLst/>
          </a:endParaRPr>
        </a:p>
        <a:p>
          <a:r>
            <a:rPr lang="en-AU" sz="1200" b="1" i="0" baseline="0">
              <a:solidFill>
                <a:schemeClr val="dk1"/>
              </a:solidFill>
              <a:effectLst/>
              <a:latin typeface="+mn-lt"/>
              <a:ea typeface="+mn-ea"/>
              <a:cs typeface="+mn-cs"/>
            </a:rPr>
            <a:t>Liquid Lifetime Withdrawal Guarantee</a:t>
          </a:r>
          <a:endParaRPr lang="en-AU" sz="1200">
            <a:effectLst/>
          </a:endParaRPr>
        </a:p>
        <a:p>
          <a:pPr>
            <a:spcAft>
              <a:spcPts val="600"/>
            </a:spcAft>
          </a:pPr>
          <a:r>
            <a:rPr lang="en-AU" sz="1200" b="0" i="0" baseline="0">
              <a:solidFill>
                <a:schemeClr val="dk1"/>
              </a:solidFill>
              <a:effectLst/>
              <a:latin typeface="+mn-lt"/>
              <a:ea typeface="+mn-ea"/>
              <a:cs typeface="+mn-cs"/>
            </a:rPr>
            <a:t>The illustrated withdrawal values for the 'New portfolio' include the commutation value of the Liquid Lifetime (regular option) annuity. The annuity has a withdrawal value in the first 15 years only. Where the annuity is held past the end of year 15 it ceases to have a withdrawal value. </a:t>
          </a:r>
          <a:endParaRPr lang="en-AU" sz="1200">
            <a:effectLst/>
          </a:endParaRPr>
        </a:p>
        <a:p>
          <a:r>
            <a:rPr lang="en-AU" sz="1200" b="1">
              <a:solidFill>
                <a:schemeClr val="dk1"/>
              </a:solidFill>
              <a:effectLst/>
              <a:latin typeface="+mn-lt"/>
              <a:ea typeface="+mn-ea"/>
              <a:cs typeface="+mn-cs"/>
            </a:rPr>
            <a:t>Taxation</a:t>
          </a:r>
          <a:endParaRPr lang="en-AU" sz="1200">
            <a:effectLst/>
          </a:endParaRPr>
        </a:p>
        <a:p>
          <a:r>
            <a:rPr lang="en-AU" sz="1200" b="0">
              <a:solidFill>
                <a:schemeClr val="dk1"/>
              </a:solidFill>
              <a:effectLst/>
              <a:latin typeface="+mn-lt"/>
              <a:ea typeface="+mn-ea"/>
              <a:cs typeface="+mn-cs"/>
            </a:rPr>
            <a:t>The Calculator does not calculate any PAYG tax payable on the projected regular retirement income. Generally, once a person turns age 60 and retires, any income received from superannuation investments is tax-free. However, other investments not purchased with money rolled over within the superannuation system may be subject to tax. Where the annuity is purchased with non-superannuation money,  tax may be payable on any lump sum withdrawal amount, including where the withdrawal guarantee is excercised</a:t>
          </a:r>
          <a:r>
            <a:rPr lang="en-AU" sz="1200" b="0" baseline="0">
              <a:solidFill>
                <a:schemeClr val="dk1"/>
              </a:solidFill>
              <a:effectLst/>
              <a:latin typeface="+mn-lt"/>
              <a:ea typeface="+mn-ea"/>
              <a:cs typeface="+mn-cs"/>
            </a:rPr>
            <a:t> at the end of 15 years. The withdrawal values shown at the end of year 15 for the 'New (Liquid Lifetime regular income) portfolio' are after tax values. Tax has been calculated based on current tax rates and law and where relevant include the Medicare Levy, Low income tax offset (LITO) and  the seniors and pensioners tax offset (SAPTO). Projections are illustrative only. It is probable that actual future tax rates will differ from the rates the Calculator uses today.</a:t>
          </a:r>
          <a:endParaRPr lang="en-AU" sz="1200">
            <a:effectLst/>
          </a:endParaRPr>
        </a:p>
        <a:p>
          <a:endParaRPr lang="en-AU" sz="1100">
            <a:solidFill>
              <a:schemeClr val="dk1"/>
            </a:solidFill>
            <a:effectLst/>
            <a:latin typeface="+mn-lt"/>
            <a:ea typeface="+mn-ea"/>
            <a:cs typeface="+mn-cs"/>
          </a:endParaRPr>
        </a:p>
        <a:p>
          <a:endParaRPr lang="en-AU" sz="1100">
            <a:solidFill>
              <a:schemeClr val="dk1"/>
            </a:solidFill>
            <a:effectLst/>
            <a:latin typeface="+mn-lt"/>
            <a:ea typeface="+mn-ea"/>
            <a:cs typeface="+mn-cs"/>
          </a:endParaRPr>
        </a:p>
        <a:p>
          <a:pPr>
            <a:spcAft>
              <a:spcPts val="600"/>
            </a:spcAft>
          </a:pPr>
          <a:r>
            <a:rPr lang="en-AU" sz="1600" b="1">
              <a:solidFill>
                <a:schemeClr val="dk1"/>
              </a:solidFill>
              <a:effectLst/>
              <a:latin typeface="+mn-lt"/>
              <a:ea typeface="+mn-ea"/>
              <a:cs typeface="+mn-cs"/>
            </a:rPr>
            <a:t>Privacy Statement </a:t>
          </a:r>
        </a:p>
        <a:p>
          <a:r>
            <a:rPr lang="en-AU" sz="1200">
              <a:solidFill>
                <a:schemeClr val="dk1"/>
              </a:solidFill>
              <a:effectLst/>
              <a:latin typeface="+mn-lt"/>
              <a:ea typeface="+mn-ea"/>
              <a:cs typeface="+mn-cs"/>
            </a:rPr>
            <a:t>At Challenger, we understand your concerns about privacy and the security of your personal information. Your privacy is important to us and we are bound by the </a:t>
          </a:r>
          <a:r>
            <a:rPr lang="en-AU" sz="1200" i="1">
              <a:solidFill>
                <a:schemeClr val="dk1"/>
              </a:solidFill>
              <a:effectLst/>
              <a:latin typeface="+mn-lt"/>
              <a:ea typeface="+mn-ea"/>
              <a:cs typeface="+mn-cs"/>
            </a:rPr>
            <a:t>Privacy Act 1988</a:t>
          </a:r>
          <a:r>
            <a:rPr lang="en-AU" sz="1200">
              <a:solidFill>
                <a:schemeClr val="dk1"/>
              </a:solidFill>
              <a:effectLst/>
              <a:latin typeface="+mn-lt"/>
              <a:ea typeface="+mn-ea"/>
              <a:cs typeface="+mn-cs"/>
            </a:rPr>
            <a:t> (Cth) and the Australian Privacy Principles ('APPs'). We are committed to protecting the personal information that we collect and hold about our investors, advisers and clients of advisers.</a:t>
          </a:r>
        </a:p>
        <a:p>
          <a:endParaRPr lang="en-AU" sz="1200" b="1">
            <a:solidFill>
              <a:schemeClr val="dk1"/>
            </a:solidFill>
            <a:effectLst/>
            <a:latin typeface="+mn-lt"/>
            <a:ea typeface="+mn-ea"/>
            <a:cs typeface="+mn-cs"/>
          </a:endParaRPr>
        </a:p>
        <a:p>
          <a:r>
            <a:rPr lang="en-AU" sz="1250" b="1">
              <a:solidFill>
                <a:schemeClr val="dk1"/>
              </a:solidFill>
              <a:effectLst/>
              <a:latin typeface="+mn-lt"/>
              <a:ea typeface="+mn-ea"/>
              <a:cs typeface="+mn-cs"/>
            </a:rPr>
            <a:t>In relation to where you downloaded the Calculator yourself:</a:t>
          </a:r>
          <a:endParaRPr lang="en-AU" sz="1250">
            <a:solidFill>
              <a:schemeClr val="dk1"/>
            </a:solidFill>
            <a:effectLst/>
            <a:latin typeface="+mn-lt"/>
            <a:ea typeface="+mn-ea"/>
            <a:cs typeface="+mn-cs"/>
          </a:endParaRPr>
        </a:p>
        <a:p>
          <a:r>
            <a:rPr lang="en-AU" sz="1200">
              <a:solidFill>
                <a:schemeClr val="dk1"/>
              </a:solidFill>
              <a:effectLst/>
              <a:latin typeface="+mn-lt"/>
              <a:ea typeface="+mn-ea"/>
              <a:cs typeface="+mn-cs"/>
            </a:rPr>
            <a:t>No personal information is collected or retained by Challenger through use by you of this calculator. You will need to manage any privacy obligations to your customer in accordance with your own privacy policy.</a:t>
          </a:r>
        </a:p>
        <a:p>
          <a:r>
            <a:rPr lang="en-AU" sz="1200">
              <a:solidFill>
                <a:schemeClr val="dk1"/>
              </a:solidFill>
              <a:effectLst/>
              <a:latin typeface="+mn-lt"/>
              <a:ea typeface="+mn-ea"/>
              <a:cs typeface="+mn-cs"/>
            </a:rPr>
            <a:t> </a:t>
          </a:r>
        </a:p>
        <a:p>
          <a:pPr>
            <a:spcAft>
              <a:spcPts val="300"/>
            </a:spcAft>
          </a:pPr>
          <a:r>
            <a:rPr lang="en-AU" sz="1250" b="1">
              <a:solidFill>
                <a:schemeClr val="dk1"/>
              </a:solidFill>
              <a:effectLst/>
              <a:latin typeface="+mn-lt"/>
              <a:ea typeface="+mn-ea"/>
              <a:cs typeface="+mn-cs"/>
            </a:rPr>
            <a:t>In relation to ‘Adviser office visitations’ undertaken by Challenger representatives;</a:t>
          </a:r>
          <a:endParaRPr lang="en-AU" sz="1250">
            <a:solidFill>
              <a:schemeClr val="dk1"/>
            </a:solidFill>
            <a:effectLst/>
            <a:latin typeface="+mn-lt"/>
            <a:ea typeface="+mn-ea"/>
            <a:cs typeface="+mn-cs"/>
          </a:endParaRPr>
        </a:p>
        <a:p>
          <a:r>
            <a:rPr lang="en-AU" sz="1200" b="1">
              <a:solidFill>
                <a:schemeClr val="dk1"/>
              </a:solidFill>
              <a:effectLst/>
              <a:latin typeface="+mn-lt"/>
              <a:ea typeface="+mn-ea"/>
              <a:cs typeface="+mn-cs"/>
            </a:rPr>
            <a:t>What personal information will we collect?</a:t>
          </a:r>
          <a:endParaRPr lang="en-AU" sz="1200">
            <a:solidFill>
              <a:schemeClr val="dk1"/>
            </a:solidFill>
            <a:effectLst/>
            <a:latin typeface="+mn-lt"/>
            <a:ea typeface="+mn-ea"/>
            <a:cs typeface="+mn-cs"/>
          </a:endParaRPr>
        </a:p>
        <a:p>
          <a:pPr lvl="0"/>
          <a:r>
            <a:rPr lang="en-AU" sz="1200">
              <a:solidFill>
                <a:schemeClr val="dk1"/>
              </a:solidFill>
              <a:effectLst/>
              <a:latin typeface="+mn-lt"/>
              <a:ea typeface="+mn-ea"/>
              <a:cs typeface="+mn-cs"/>
            </a:rPr>
            <a:t>Information that you provide directly to Challenger about your clients in advance of the visit, which may include client name, date of birth, income and asset details and marital status. This information will only be ‘personal information’ if you provide client names (which you are not required to provide)</a:t>
          </a:r>
        </a:p>
        <a:p>
          <a:pPr lvl="0">
            <a:spcAft>
              <a:spcPts val="600"/>
            </a:spcAft>
          </a:pPr>
          <a:r>
            <a:rPr lang="en-AU" sz="1200">
              <a:solidFill>
                <a:schemeClr val="dk1"/>
              </a:solidFill>
              <a:effectLst/>
              <a:latin typeface="+mn-lt"/>
              <a:ea typeface="+mn-ea"/>
              <a:cs typeface="+mn-cs"/>
            </a:rPr>
            <a:t>We will not collect any personal information other than what you provide to us </a:t>
          </a:r>
        </a:p>
        <a:p>
          <a:r>
            <a:rPr lang="en-AU" sz="1200" b="1">
              <a:solidFill>
                <a:schemeClr val="dk1"/>
              </a:solidFill>
              <a:effectLst/>
              <a:latin typeface="+mn-lt"/>
              <a:ea typeface="+mn-ea"/>
              <a:cs typeface="+mn-cs"/>
            </a:rPr>
            <a:t>Why is personal information being collected?</a:t>
          </a:r>
          <a:endParaRPr lang="en-AU" sz="1200">
            <a:solidFill>
              <a:schemeClr val="dk1"/>
            </a:solidFill>
            <a:effectLst/>
            <a:latin typeface="+mn-lt"/>
            <a:ea typeface="+mn-ea"/>
            <a:cs typeface="+mn-cs"/>
          </a:endParaRPr>
        </a:p>
        <a:p>
          <a:pPr lvl="0">
            <a:spcAft>
              <a:spcPts val="600"/>
            </a:spcAft>
          </a:pPr>
          <a:r>
            <a:rPr lang="en-AU" sz="1200">
              <a:solidFill>
                <a:schemeClr val="dk1"/>
              </a:solidFill>
              <a:effectLst/>
              <a:latin typeface="+mn-lt"/>
              <a:ea typeface="+mn-ea"/>
              <a:cs typeface="+mn-cs"/>
            </a:rPr>
            <a:t>Personal information (if client name is provided) will be collected for the purpose of assisting you to understand any impact to your clients’ of incorporating a Lifetime Annuity into a retirement portfolio. </a:t>
          </a:r>
        </a:p>
        <a:p>
          <a:r>
            <a:rPr lang="en-AU" sz="1200" b="1">
              <a:solidFill>
                <a:schemeClr val="dk1"/>
              </a:solidFill>
              <a:effectLst/>
              <a:latin typeface="+mn-lt"/>
              <a:ea typeface="+mn-ea"/>
              <a:cs typeface="+mn-cs"/>
            </a:rPr>
            <a:t>How will personal information be used and disclosed?</a:t>
          </a:r>
          <a:endParaRPr lang="en-AU" sz="1200">
            <a:solidFill>
              <a:schemeClr val="dk1"/>
            </a:solidFill>
            <a:effectLst/>
            <a:latin typeface="+mn-lt"/>
            <a:ea typeface="+mn-ea"/>
            <a:cs typeface="+mn-cs"/>
          </a:endParaRPr>
        </a:p>
        <a:p>
          <a:pPr lvl="0"/>
          <a:r>
            <a:rPr lang="en-AU" sz="1200">
              <a:solidFill>
                <a:schemeClr val="dk1"/>
              </a:solidFill>
              <a:effectLst/>
              <a:latin typeface="+mn-lt"/>
              <a:ea typeface="+mn-ea"/>
              <a:cs typeface="+mn-cs"/>
            </a:rPr>
            <a:t>The information will be run through our ‘Age Pension Calculator’ tool and the results will be reported directly back to you</a:t>
          </a:r>
        </a:p>
        <a:p>
          <a:pPr lvl="0"/>
          <a:r>
            <a:rPr lang="en-AU" sz="1200">
              <a:solidFill>
                <a:schemeClr val="dk1"/>
              </a:solidFill>
              <a:effectLst/>
              <a:latin typeface="+mn-lt"/>
              <a:ea typeface="+mn-ea"/>
              <a:cs typeface="+mn-cs"/>
            </a:rPr>
            <a:t>Sharing of this information with your clients is at your discretion and you may choose to use it to inform subsequent retirement planning discussions held with them</a:t>
          </a:r>
        </a:p>
        <a:p>
          <a:pPr lvl="0">
            <a:spcAft>
              <a:spcPts val="600"/>
            </a:spcAft>
          </a:pPr>
          <a:r>
            <a:rPr lang="en-AU" sz="1200">
              <a:solidFill>
                <a:schemeClr val="dk1"/>
              </a:solidFill>
              <a:effectLst/>
              <a:latin typeface="+mn-lt"/>
              <a:ea typeface="+mn-ea"/>
              <a:cs typeface="+mn-cs"/>
            </a:rPr>
            <a:t>Personal information provided for the stated purpose will not be used by Challenger (or any affiliated company) to contact the client or to recommend or market products or services to them, nor will the information be disclosed to any party outside of Challenger.</a:t>
          </a:r>
        </a:p>
        <a:p>
          <a:r>
            <a:rPr lang="en-AU" sz="1200" b="1">
              <a:solidFill>
                <a:schemeClr val="dk1"/>
              </a:solidFill>
              <a:effectLst/>
              <a:latin typeface="+mn-lt"/>
              <a:ea typeface="+mn-ea"/>
              <a:cs typeface="+mn-cs"/>
            </a:rPr>
            <a:t>How will the personal information be stored and secured?</a:t>
          </a:r>
          <a:endParaRPr lang="en-AU" sz="1200">
            <a:solidFill>
              <a:schemeClr val="dk1"/>
            </a:solidFill>
            <a:effectLst/>
            <a:latin typeface="+mn-lt"/>
            <a:ea typeface="+mn-ea"/>
            <a:cs typeface="+mn-cs"/>
          </a:endParaRPr>
        </a:p>
        <a:p>
          <a:pPr lvl="0">
            <a:spcAft>
              <a:spcPts val="1200"/>
            </a:spcAft>
          </a:pPr>
          <a:r>
            <a:rPr lang="en-AU" sz="1200">
              <a:solidFill>
                <a:schemeClr val="dk1"/>
              </a:solidFill>
              <a:effectLst/>
              <a:latin typeface="+mn-lt"/>
              <a:ea typeface="+mn-ea"/>
              <a:cs typeface="+mn-cs"/>
            </a:rPr>
            <a:t>The information will be held on secure folders only accessible by authorised Challenger staff and any personal information held will be de-identified 6 months from the date the report was issued to you. You should only provide personal information to Challenger where your clients would reasonably expect you to do so, and where it is done in their best interests.</a:t>
          </a:r>
        </a:p>
        <a:p>
          <a:r>
            <a:rPr lang="en-AU" sz="1200">
              <a:solidFill>
                <a:schemeClr val="dk1"/>
              </a:solidFill>
              <a:effectLst/>
              <a:latin typeface="+mn-lt"/>
              <a:ea typeface="+mn-ea"/>
              <a:cs typeface="+mn-cs"/>
            </a:rPr>
            <a:t>If you require further details as to how Challenger manages personal information, our Privacy Policy is </a:t>
          </a:r>
          <a:r>
            <a:rPr lang="en-AU" sz="1200">
              <a:solidFill>
                <a:schemeClr val="tx1"/>
              </a:solidFill>
              <a:effectLst/>
              <a:latin typeface="+mn-lt"/>
              <a:ea typeface="+mn-ea"/>
              <a:cs typeface="+mn-cs"/>
            </a:rPr>
            <a:t>available at www.challenger.com.au</a:t>
          </a:r>
          <a:r>
            <a:rPr lang="en-AU" sz="1200" u="none">
              <a:solidFill>
                <a:schemeClr val="tx1"/>
              </a:solidFill>
              <a:effectLst/>
              <a:latin typeface="+mn-lt"/>
              <a:ea typeface="+mn-ea"/>
              <a:cs typeface="+mn-cs"/>
            </a:rPr>
            <a:t> a</a:t>
          </a:r>
          <a:r>
            <a:rPr lang="en-AU" sz="1200">
              <a:solidFill>
                <a:schemeClr val="tx1"/>
              </a:solidFill>
              <a:effectLst/>
              <a:latin typeface="+mn-lt"/>
              <a:ea typeface="+mn-ea"/>
              <a:cs typeface="+mn-cs"/>
            </a:rPr>
            <a:t>nd contains </a:t>
          </a:r>
          <a:r>
            <a:rPr lang="en-AU" sz="1200">
              <a:solidFill>
                <a:schemeClr val="dk1"/>
              </a:solidFill>
              <a:effectLst/>
              <a:latin typeface="+mn-lt"/>
              <a:ea typeface="+mn-ea"/>
              <a:cs typeface="+mn-cs"/>
            </a:rPr>
            <a:t>information about how to access, or make a complaint, in relation to your personal information.</a:t>
          </a:r>
        </a:p>
        <a:p>
          <a:pPr>
            <a:spcAft>
              <a:spcPts val="600"/>
            </a:spcAft>
          </a:pPr>
          <a:endParaRPr lang="en-AU" sz="1200" b="0" i="0" u="none" strike="noStrike" baseline="0" smtClean="0">
            <a:solidFill>
              <a:schemeClr val="dk1"/>
            </a:solidFill>
            <a:latin typeface="+mn-lt"/>
            <a:ea typeface="+mn-ea"/>
            <a:cs typeface="Arial" panose="020B0604020202020204" pitchFamily="34" charset="0"/>
          </a:endParaRPr>
        </a:p>
        <a:p>
          <a:pPr>
            <a:spcAft>
              <a:spcPts val="600"/>
            </a:spcAft>
          </a:pPr>
          <a:endParaRPr lang="en-AU" sz="1200" b="0" i="0" u="none" strike="noStrike" baseline="0" smtClean="0">
            <a:solidFill>
              <a:schemeClr val="dk1"/>
            </a:solidFill>
            <a:latin typeface="+mn-lt"/>
            <a:ea typeface="+mn-ea"/>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28575</xdr:colOff>
      <xdr:row>58</xdr:row>
      <xdr:rowOff>95250</xdr:rowOff>
    </xdr:from>
    <xdr:to>
      <xdr:col>52</xdr:col>
      <xdr:colOff>28575</xdr:colOff>
      <xdr:row>76</xdr:row>
      <xdr:rowOff>123825</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123825</xdr:colOff>
      <xdr:row>11</xdr:row>
      <xdr:rowOff>104775</xdr:rowOff>
    </xdr:from>
    <xdr:to>
      <xdr:col>26</xdr:col>
      <xdr:colOff>9525</xdr:colOff>
      <xdr:row>25</xdr:row>
      <xdr:rowOff>76200</xdr:rowOff>
    </xdr:to>
    <xdr:sp macro="" textlink="">
      <xdr:nvSpPr>
        <xdr:cNvPr id="2" name="TextBox 1"/>
        <xdr:cNvSpPr txBox="1"/>
      </xdr:nvSpPr>
      <xdr:spPr>
        <a:xfrm>
          <a:off x="314325" y="2409825"/>
          <a:ext cx="4648200" cy="2638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300"/>
            </a:spcAft>
          </a:pPr>
          <a:r>
            <a:rPr lang="en-AU" sz="1400" b="1"/>
            <a:t>This illustration</a:t>
          </a:r>
          <a:r>
            <a:rPr lang="en-AU" sz="1400" b="1" baseline="0"/>
            <a:t> provides:</a:t>
          </a:r>
        </a:p>
        <a:p>
          <a:pPr marL="171450" indent="-171450">
            <a:buFont typeface="Arial" panose="020B0604020202020204" pitchFamily="34" charset="0"/>
            <a:buChar char="•"/>
          </a:pPr>
          <a:r>
            <a:rPr lang="en-AU" sz="1100" b="0" i="0" u="none" strike="noStrike" baseline="0" smtClean="0">
              <a:solidFill>
                <a:schemeClr val="dk1"/>
              </a:solidFill>
              <a:latin typeface="+mn-lt"/>
              <a:ea typeface="+mn-ea"/>
              <a:cs typeface="+mn-cs"/>
            </a:rPr>
            <a:t>An estimate of how much Age Pension you are currently entitled to;</a:t>
          </a:r>
        </a:p>
        <a:p>
          <a:pPr marL="171450" indent="-171450">
            <a:buFont typeface="Arial" panose="020B0604020202020204" pitchFamily="34" charset="0"/>
            <a:buChar char="•"/>
          </a:pPr>
          <a:r>
            <a:rPr lang="en-AU" sz="1100" b="0" i="0" u="none" strike="noStrike" baseline="0" smtClean="0">
              <a:solidFill>
                <a:schemeClr val="dk1"/>
              </a:solidFill>
              <a:latin typeface="+mn-lt"/>
              <a:ea typeface="+mn-ea"/>
              <a:cs typeface="+mn-cs"/>
            </a:rPr>
            <a:t>A projection of your estimated Age Pension over the next 15 years; and</a:t>
          </a:r>
        </a:p>
        <a:p>
          <a:pPr marL="171450" indent="-171450">
            <a:buFont typeface="Arial" panose="020B0604020202020204" pitchFamily="34" charset="0"/>
            <a:buChar char="•"/>
          </a:pPr>
          <a:r>
            <a:rPr lang="en-AU" sz="1100" b="0" i="0" u="none" strike="noStrike" baseline="0" smtClean="0">
              <a:solidFill>
                <a:schemeClr val="dk1"/>
              </a:solidFill>
              <a:latin typeface="+mn-lt"/>
              <a:ea typeface="+mn-ea"/>
              <a:cs typeface="+mn-cs"/>
            </a:rPr>
            <a:t>An illustration of the impact of incorporating a Liquid Lifetime (regular income) lifetime annuity into your retirement portfolio </a:t>
          </a:r>
        </a:p>
        <a:p>
          <a:pPr marL="171450" indent="-171450">
            <a:buFont typeface="Arial" panose="020B0604020202020204" pitchFamily="34" charset="0"/>
            <a:buChar char="•"/>
          </a:pPr>
          <a:endParaRPr lang="en-AU" sz="800" b="0" i="0" u="none" strike="noStrike" baseline="0" smtClean="0">
            <a:solidFill>
              <a:schemeClr val="dk1"/>
            </a:solidFill>
            <a:latin typeface="+mn-lt"/>
            <a:ea typeface="+mn-ea"/>
            <a:cs typeface="+mn-cs"/>
          </a:endParaRPr>
        </a:p>
        <a:p>
          <a:pPr>
            <a:spcAft>
              <a:spcPts val="300"/>
            </a:spcAft>
          </a:pPr>
          <a:r>
            <a:rPr lang="en-AU" sz="1400" b="1" i="0" u="none" strike="noStrike" baseline="0" smtClean="0">
              <a:solidFill>
                <a:schemeClr val="dk1"/>
              </a:solidFill>
              <a:latin typeface="+mn-lt"/>
              <a:ea typeface="+mn-ea"/>
              <a:cs typeface="+mn-cs"/>
            </a:rPr>
            <a:t>Important</a:t>
          </a:r>
        </a:p>
        <a:p>
          <a:r>
            <a:rPr lang="en-AU" sz="1100"/>
            <a:t>This illustration is generated by your financial adviser and forms part of the advice provided to you by your adviser, and is subject to the terms of use and assumptions set out on page 6. Challenger Life is not in a position to know or understand your particular financial situation, needs or objectives and accordingly is not in a position to provide you with personal advice, and is not aware of or responsible for the advice provided to you by your adviser.  </a:t>
          </a:r>
        </a:p>
        <a:p>
          <a:endParaRPr lang="en-AU" sz="1100"/>
        </a:p>
      </xdr:txBody>
    </xdr:sp>
    <xdr:clientData/>
  </xdr:twoCellAnchor>
  <xdr:twoCellAnchor editAs="oneCell">
    <xdr:from>
      <xdr:col>40</xdr:col>
      <xdr:colOff>161925</xdr:colOff>
      <xdr:row>7</xdr:row>
      <xdr:rowOff>38100</xdr:rowOff>
    </xdr:from>
    <xdr:to>
      <xdr:col>50</xdr:col>
      <xdr:colOff>279759</xdr:colOff>
      <xdr:row>9</xdr:row>
      <xdr:rowOff>57150</xdr:rowOff>
    </xdr:to>
    <xdr:pic>
      <xdr:nvPicPr>
        <xdr:cNvPr id="3" name="Picture 2"/>
        <xdr:cNvPicPr>
          <a:picLocks noChangeAspect="1"/>
        </xdr:cNvPicPr>
      </xdr:nvPicPr>
      <xdr:blipFill>
        <a:blip xmlns:r="http://schemas.openxmlformats.org/officeDocument/2006/relationships" r:embed="rId2"/>
        <a:stretch>
          <a:fillRect/>
        </a:stretch>
      </xdr:blipFill>
      <xdr:spPr>
        <a:xfrm>
          <a:off x="7781925" y="1371600"/>
          <a:ext cx="2022834" cy="542925"/>
        </a:xfrm>
        <a:prstGeom prst="rect">
          <a:avLst/>
        </a:prstGeom>
      </xdr:spPr>
    </xdr:pic>
    <xdr:clientData/>
  </xdr:twoCellAnchor>
  <xdr:oneCellAnchor>
    <xdr:from>
      <xdr:col>40</xdr:col>
      <xdr:colOff>161925</xdr:colOff>
      <xdr:row>43</xdr:row>
      <xdr:rowOff>19050</xdr:rowOff>
    </xdr:from>
    <xdr:ext cx="2022834" cy="542925"/>
    <xdr:pic>
      <xdr:nvPicPr>
        <xdr:cNvPr id="4" name="Picture 3"/>
        <xdr:cNvPicPr>
          <a:picLocks noChangeAspect="1"/>
        </xdr:cNvPicPr>
      </xdr:nvPicPr>
      <xdr:blipFill>
        <a:blip xmlns:r="http://schemas.openxmlformats.org/officeDocument/2006/relationships" r:embed="rId2"/>
        <a:stretch>
          <a:fillRect/>
        </a:stretch>
      </xdr:blipFill>
      <xdr:spPr>
        <a:xfrm>
          <a:off x="7781925" y="1352550"/>
          <a:ext cx="2022834" cy="542925"/>
        </a:xfrm>
        <a:prstGeom prst="rect">
          <a:avLst/>
        </a:prstGeom>
      </xdr:spPr>
    </xdr:pic>
    <xdr:clientData/>
  </xdr:oneCellAnchor>
  <xdr:twoCellAnchor>
    <xdr:from>
      <xdr:col>5</xdr:col>
      <xdr:colOff>104775</xdr:colOff>
      <xdr:row>49</xdr:row>
      <xdr:rowOff>28574</xdr:rowOff>
    </xdr:from>
    <xdr:to>
      <xdr:col>14</xdr:col>
      <xdr:colOff>142875</xdr:colOff>
      <xdr:row>57</xdr:row>
      <xdr:rowOff>133349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40</xdr:col>
      <xdr:colOff>161925</xdr:colOff>
      <xdr:row>79</xdr:row>
      <xdr:rowOff>19050</xdr:rowOff>
    </xdr:from>
    <xdr:ext cx="2022834" cy="542925"/>
    <xdr:pic>
      <xdr:nvPicPr>
        <xdr:cNvPr id="15" name="Picture 14"/>
        <xdr:cNvPicPr>
          <a:picLocks noChangeAspect="1"/>
        </xdr:cNvPicPr>
      </xdr:nvPicPr>
      <xdr:blipFill>
        <a:blip xmlns:r="http://schemas.openxmlformats.org/officeDocument/2006/relationships" r:embed="rId2"/>
        <a:stretch>
          <a:fillRect/>
        </a:stretch>
      </xdr:blipFill>
      <xdr:spPr>
        <a:xfrm>
          <a:off x="7781925" y="8448675"/>
          <a:ext cx="2022834" cy="542925"/>
        </a:xfrm>
        <a:prstGeom prst="rect">
          <a:avLst/>
        </a:prstGeom>
      </xdr:spPr>
    </xdr:pic>
    <xdr:clientData/>
  </xdr:oneCellAnchor>
  <xdr:oneCellAnchor>
    <xdr:from>
      <xdr:col>40</xdr:col>
      <xdr:colOff>161925</xdr:colOff>
      <xdr:row>115</xdr:row>
      <xdr:rowOff>19050</xdr:rowOff>
    </xdr:from>
    <xdr:ext cx="2022834" cy="542925"/>
    <xdr:pic>
      <xdr:nvPicPr>
        <xdr:cNvPr id="19" name="Picture 18"/>
        <xdr:cNvPicPr>
          <a:picLocks noChangeAspect="1"/>
        </xdr:cNvPicPr>
      </xdr:nvPicPr>
      <xdr:blipFill>
        <a:blip xmlns:r="http://schemas.openxmlformats.org/officeDocument/2006/relationships" r:embed="rId2"/>
        <a:stretch>
          <a:fillRect/>
        </a:stretch>
      </xdr:blipFill>
      <xdr:spPr>
        <a:xfrm>
          <a:off x="7781925" y="15544800"/>
          <a:ext cx="2022834" cy="542925"/>
        </a:xfrm>
        <a:prstGeom prst="rect">
          <a:avLst/>
        </a:prstGeom>
      </xdr:spPr>
    </xdr:pic>
    <xdr:clientData/>
  </xdr:oneCellAnchor>
  <xdr:oneCellAnchor>
    <xdr:from>
      <xdr:col>40</xdr:col>
      <xdr:colOff>161925</xdr:colOff>
      <xdr:row>151</xdr:row>
      <xdr:rowOff>19050</xdr:rowOff>
    </xdr:from>
    <xdr:ext cx="2022834" cy="542925"/>
    <xdr:pic>
      <xdr:nvPicPr>
        <xdr:cNvPr id="21" name="Picture 20"/>
        <xdr:cNvPicPr>
          <a:picLocks noChangeAspect="1"/>
        </xdr:cNvPicPr>
      </xdr:nvPicPr>
      <xdr:blipFill>
        <a:blip xmlns:r="http://schemas.openxmlformats.org/officeDocument/2006/relationships" r:embed="rId2"/>
        <a:stretch>
          <a:fillRect/>
        </a:stretch>
      </xdr:blipFill>
      <xdr:spPr>
        <a:xfrm>
          <a:off x="7781925" y="15544800"/>
          <a:ext cx="2022834" cy="542925"/>
        </a:xfrm>
        <a:prstGeom prst="rect">
          <a:avLst/>
        </a:prstGeom>
      </xdr:spPr>
    </xdr:pic>
    <xdr:clientData/>
  </xdr:oneCellAnchor>
  <xdr:oneCellAnchor>
    <xdr:from>
      <xdr:col>40</xdr:col>
      <xdr:colOff>161925</xdr:colOff>
      <xdr:row>223</xdr:row>
      <xdr:rowOff>19050</xdr:rowOff>
    </xdr:from>
    <xdr:ext cx="2022834" cy="542925"/>
    <xdr:pic>
      <xdr:nvPicPr>
        <xdr:cNvPr id="23" name="Picture 22"/>
        <xdr:cNvPicPr>
          <a:picLocks noChangeAspect="1"/>
        </xdr:cNvPicPr>
      </xdr:nvPicPr>
      <xdr:blipFill>
        <a:blip xmlns:r="http://schemas.openxmlformats.org/officeDocument/2006/relationships" r:embed="rId2"/>
        <a:stretch>
          <a:fillRect/>
        </a:stretch>
      </xdr:blipFill>
      <xdr:spPr>
        <a:xfrm>
          <a:off x="7781925" y="15544800"/>
          <a:ext cx="2022834" cy="542925"/>
        </a:xfrm>
        <a:prstGeom prst="rect">
          <a:avLst/>
        </a:prstGeom>
      </xdr:spPr>
    </xdr:pic>
    <xdr:clientData/>
  </xdr:oneCellAnchor>
  <xdr:oneCellAnchor>
    <xdr:from>
      <xdr:col>40</xdr:col>
      <xdr:colOff>161925</xdr:colOff>
      <xdr:row>259</xdr:row>
      <xdr:rowOff>19050</xdr:rowOff>
    </xdr:from>
    <xdr:ext cx="2022834" cy="542925"/>
    <xdr:pic>
      <xdr:nvPicPr>
        <xdr:cNvPr id="25" name="Picture 24"/>
        <xdr:cNvPicPr>
          <a:picLocks noChangeAspect="1"/>
        </xdr:cNvPicPr>
      </xdr:nvPicPr>
      <xdr:blipFill>
        <a:blip xmlns:r="http://schemas.openxmlformats.org/officeDocument/2006/relationships" r:embed="rId2"/>
        <a:stretch>
          <a:fillRect/>
        </a:stretch>
      </xdr:blipFill>
      <xdr:spPr>
        <a:xfrm>
          <a:off x="7781925" y="15544800"/>
          <a:ext cx="2022834" cy="542925"/>
        </a:xfrm>
        <a:prstGeom prst="rect">
          <a:avLst/>
        </a:prstGeom>
      </xdr:spPr>
    </xdr:pic>
    <xdr:clientData/>
  </xdr:oneCellAnchor>
  <xdr:twoCellAnchor editAs="absolute">
    <xdr:from>
      <xdr:col>33</xdr:col>
      <xdr:colOff>47624</xdr:colOff>
      <xdr:row>49</xdr:row>
      <xdr:rowOff>127202</xdr:rowOff>
    </xdr:from>
    <xdr:to>
      <xdr:col>35</xdr:col>
      <xdr:colOff>7325</xdr:colOff>
      <xdr:row>51</xdr:row>
      <xdr:rowOff>19050</xdr:rowOff>
    </xdr:to>
    <xdr:pic>
      <xdr:nvPicPr>
        <xdr:cNvPr id="33" name="Picture 32" descr="C:\Users\DGT26\AppData\Local\Microsoft\Windows\INetCache\IE\LQ7M6WEN\conseil[1].png"/>
        <xdr:cNvPicPr>
          <a:picLocks noChangeAspect="1" noChangeArrowheads="1"/>
        </xdr:cNvPicPr>
      </xdr:nvPicPr>
      <xdr:blipFill>
        <a:blip xmlns:r="http://schemas.openxmlformats.org/officeDocument/2006/relationships" r:embed="rId4">
          <a:biLevel thresh="75000"/>
          <a:extLst>
            <a:ext uri="{28A0092B-C50C-407E-A947-70E740481C1C}">
              <a14:useLocalDpi xmlns:a14="http://schemas.microsoft.com/office/drawing/2010/main" val="0"/>
            </a:ext>
          </a:extLst>
        </a:blip>
        <a:srcRect/>
        <a:stretch>
          <a:fillRect/>
        </a:stretch>
      </xdr:blipFill>
      <xdr:spPr bwMode="auto">
        <a:xfrm>
          <a:off x="6334124" y="9947477"/>
          <a:ext cx="340701" cy="2728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33</xdr:col>
      <xdr:colOff>47383</xdr:colOff>
      <xdr:row>55</xdr:row>
      <xdr:rowOff>113804</xdr:rowOff>
    </xdr:from>
    <xdr:to>
      <xdr:col>34</xdr:col>
      <xdr:colOff>171451</xdr:colOff>
      <xdr:row>57</xdr:row>
      <xdr:rowOff>57149</xdr:rowOff>
    </xdr:to>
    <xdr:pic>
      <xdr:nvPicPr>
        <xdr:cNvPr id="34" name="Picture 33" descr="C:\Program Files (x86)\Microsoft Office\MEDIA\CAGCAT10\j0222015.wmf"/>
        <xdr:cNvPicPr>
          <a:picLocks noChangeAspect="1" noChangeArrowheads="1"/>
        </xdr:cNvPicPr>
      </xdr:nvPicPr>
      <xdr:blipFill>
        <a:blip xmlns:r="http://schemas.openxmlformats.org/officeDocument/2006/relationships" r:embed="rId5">
          <a:biLevel thresh="75000"/>
          <a:extLst>
            <a:ext uri="{28A0092B-C50C-407E-A947-70E740481C1C}">
              <a14:useLocalDpi xmlns:a14="http://schemas.microsoft.com/office/drawing/2010/main" val="0"/>
            </a:ext>
          </a:extLst>
        </a:blip>
        <a:srcRect/>
        <a:stretch>
          <a:fillRect/>
        </a:stretch>
      </xdr:blipFill>
      <xdr:spPr bwMode="auto">
        <a:xfrm>
          <a:off x="6333883" y="11077079"/>
          <a:ext cx="314568" cy="324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33</xdr:col>
      <xdr:colOff>64399</xdr:colOff>
      <xdr:row>52</xdr:row>
      <xdr:rowOff>116216</xdr:rowOff>
    </xdr:from>
    <xdr:to>
      <xdr:col>34</xdr:col>
      <xdr:colOff>171451</xdr:colOff>
      <xdr:row>54</xdr:row>
      <xdr:rowOff>57150</xdr:rowOff>
    </xdr:to>
    <xdr:pic>
      <xdr:nvPicPr>
        <xdr:cNvPr id="35" name="Picture 34" descr="C:\Program Files (x86)\Microsoft Office\MEDIA\CAGCAT10\j0293844.wmf"/>
        <xdr:cNvPicPr>
          <a:picLocks noChangeAspect="1" noChangeArrowheads="1"/>
        </xdr:cNvPicPr>
      </xdr:nvPicPr>
      <xdr:blipFill>
        <a:blip xmlns:r="http://schemas.openxmlformats.org/officeDocument/2006/relationships" r:embed="rId6">
          <a:biLevel thresh="75000"/>
          <a:extLst>
            <a:ext uri="{28A0092B-C50C-407E-A947-70E740481C1C}">
              <a14:useLocalDpi xmlns:a14="http://schemas.microsoft.com/office/drawing/2010/main" val="0"/>
            </a:ext>
          </a:extLst>
        </a:blip>
        <a:srcRect/>
        <a:stretch>
          <a:fillRect/>
        </a:stretch>
      </xdr:blipFill>
      <xdr:spPr bwMode="auto">
        <a:xfrm>
          <a:off x="6350899" y="10507991"/>
          <a:ext cx="297552" cy="3219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40</xdr:col>
      <xdr:colOff>161925</xdr:colOff>
      <xdr:row>187</xdr:row>
      <xdr:rowOff>19050</xdr:rowOff>
    </xdr:from>
    <xdr:ext cx="2022834" cy="542925"/>
    <xdr:pic>
      <xdr:nvPicPr>
        <xdr:cNvPr id="16" name="Picture 15"/>
        <xdr:cNvPicPr>
          <a:picLocks noChangeAspect="1"/>
        </xdr:cNvPicPr>
      </xdr:nvPicPr>
      <xdr:blipFill>
        <a:blip xmlns:r="http://schemas.openxmlformats.org/officeDocument/2006/relationships" r:embed="rId2"/>
        <a:stretch>
          <a:fillRect/>
        </a:stretch>
      </xdr:blipFill>
      <xdr:spPr>
        <a:xfrm>
          <a:off x="7781925" y="43700700"/>
          <a:ext cx="2022834" cy="54292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9</xdr:col>
      <xdr:colOff>33273</xdr:colOff>
      <xdr:row>2</xdr:row>
      <xdr:rowOff>169008</xdr:rowOff>
    </xdr:from>
    <xdr:to>
      <xdr:col>88</xdr:col>
      <xdr:colOff>33568</xdr:colOff>
      <xdr:row>2</xdr:row>
      <xdr:rowOff>1220911</xdr:rowOff>
    </xdr:to>
    <xdr:grpSp>
      <xdr:nvGrpSpPr>
        <xdr:cNvPr id="5" name="Group 4"/>
        <xdr:cNvGrpSpPr/>
      </xdr:nvGrpSpPr>
      <xdr:grpSpPr>
        <a:xfrm>
          <a:off x="1271523" y="1111983"/>
          <a:ext cx="7525045" cy="1051903"/>
          <a:chOff x="1242948" y="1531083"/>
          <a:chExt cx="7525045" cy="1051903"/>
        </a:xfrm>
      </xdr:grpSpPr>
      <xdr:pic>
        <xdr:nvPicPr>
          <xdr:cNvPr id="2" name="Picture 1" descr="C:\Users\DGT26\AppData\Local\Microsoft\Windows\INetCache\IE\LQ7M6WEN\conseil[1].png"/>
          <xdr:cNvPicPr>
            <a:picLocks noChangeAspect="1" noChangeArrowheads="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rcRect/>
          <a:stretch>
            <a:fillRect/>
          </a:stretch>
        </xdr:blipFill>
        <xdr:spPr bwMode="auto">
          <a:xfrm>
            <a:off x="1242948" y="1534206"/>
            <a:ext cx="1309592" cy="104878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 name="Picture 2" descr="C:\Program Files (x86)\Microsoft Office\MEDIA\CAGCAT10\j0222015.wmf"/>
          <xdr:cNvPicPr>
            <a:picLocks noChangeAspect="1" noChangeArrowheads="1"/>
          </xdr:cNvPicPr>
        </xdr:nvPicPr>
        <xdr:blipFill>
          <a:blip xmlns:r="http://schemas.openxmlformats.org/officeDocument/2006/relationships" r:embed="rId2">
            <a:duotone>
              <a:prstClr val="black"/>
              <a:schemeClr val="accent3">
                <a:tint val="45000"/>
                <a:satMod val="400000"/>
              </a:schemeClr>
            </a:duotone>
            <a:extLst>
              <a:ext uri="{28A0092B-C50C-407E-A947-70E740481C1C}">
                <a14:useLocalDpi xmlns:a14="http://schemas.microsoft.com/office/drawing/2010/main" val="0"/>
              </a:ext>
            </a:extLst>
          </a:blip>
          <a:srcRect/>
          <a:stretch>
            <a:fillRect/>
          </a:stretch>
        </xdr:blipFill>
        <xdr:spPr bwMode="auto">
          <a:xfrm>
            <a:off x="7806313" y="1531083"/>
            <a:ext cx="961680" cy="99156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descr="C:\Program Files (x86)\Microsoft Office\MEDIA\CAGCAT10\j0293844.wmf"/>
          <xdr:cNvPicPr>
            <a:picLocks noChangeAspect="1" noChangeArrowheads="1"/>
          </xdr:cNvPicPr>
        </xdr:nvPicPr>
        <xdr:blipFill>
          <a:blip xmlns:r="http://schemas.openxmlformats.org/officeDocument/2006/relationships" r:embed="rId3">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4592149" y="1533554"/>
            <a:ext cx="922093" cy="9976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79</xdr:col>
      <xdr:colOff>0</xdr:colOff>
      <xdr:row>6</xdr:row>
      <xdr:rowOff>4761</xdr:rowOff>
    </xdr:from>
    <xdr:to>
      <xdr:col>85</xdr:col>
      <xdr:colOff>28574</xdr:colOff>
      <xdr:row>25</xdr:row>
      <xdr:rowOff>180974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85</xdr:col>
      <xdr:colOff>180975</xdr:colOff>
      <xdr:row>6</xdr:row>
      <xdr:rowOff>19050</xdr:rowOff>
    </xdr:from>
    <xdr:to>
      <xdr:col>92</xdr:col>
      <xdr:colOff>0</xdr:colOff>
      <xdr:row>25</xdr:row>
      <xdr:rowOff>180975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314325</xdr:colOff>
          <xdr:row>3</xdr:row>
          <xdr:rowOff>28575</xdr:rowOff>
        </xdr:from>
        <xdr:to>
          <xdr:col>6</xdr:col>
          <xdr:colOff>1666875</xdr:colOff>
          <xdr:row>5</xdr:row>
          <xdr:rowOff>19050</xdr:rowOff>
        </xdr:to>
        <xdr:sp macro="" textlink="">
          <xdr:nvSpPr>
            <xdr:cNvPr id="118786" name="Button 2" hidden="1">
              <a:extLst>
                <a:ext uri="{63B3BB69-23CF-44E3-9099-C40C66FF867C}">
                  <a14:compatExt spid="_x0000_s1187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Remove all formulas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4</xdr:col>
      <xdr:colOff>0</xdr:colOff>
      <xdr:row>5</xdr:row>
      <xdr:rowOff>0</xdr:rowOff>
    </xdr:from>
    <xdr:to>
      <xdr:col>17</xdr:col>
      <xdr:colOff>400049</xdr:colOff>
      <xdr:row>40</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0</xdr:colOff>
      <xdr:row>44</xdr:row>
      <xdr:rowOff>0</xdr:rowOff>
    </xdr:from>
    <xdr:to>
      <xdr:col>17</xdr:col>
      <xdr:colOff>419100</xdr:colOff>
      <xdr:row>79</xdr:row>
      <xdr:rowOff>114299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8</xdr:col>
      <xdr:colOff>57150</xdr:colOff>
      <xdr:row>2</xdr:row>
      <xdr:rowOff>219075</xdr:rowOff>
    </xdr:from>
    <xdr:to>
      <xdr:col>87</xdr:col>
      <xdr:colOff>57445</xdr:colOff>
      <xdr:row>2</xdr:row>
      <xdr:rowOff>1270978</xdr:rowOff>
    </xdr:to>
    <xdr:grpSp>
      <xdr:nvGrpSpPr>
        <xdr:cNvPr id="2" name="Group 1"/>
        <xdr:cNvGrpSpPr/>
      </xdr:nvGrpSpPr>
      <xdr:grpSpPr>
        <a:xfrm>
          <a:off x="1200150" y="1162050"/>
          <a:ext cx="7525045" cy="1051903"/>
          <a:chOff x="1242948" y="1531083"/>
          <a:chExt cx="7525045" cy="1051903"/>
        </a:xfrm>
      </xdr:grpSpPr>
      <xdr:pic>
        <xdr:nvPicPr>
          <xdr:cNvPr id="3" name="Picture 2" descr="C:\Users\DGT26\AppData\Local\Microsoft\Windows\INetCache\IE\LQ7M6WEN\conseil[1].png"/>
          <xdr:cNvPicPr>
            <a:picLocks noChangeAspect="1" noChangeArrowheads="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rcRect/>
          <a:stretch>
            <a:fillRect/>
          </a:stretch>
        </xdr:blipFill>
        <xdr:spPr bwMode="auto">
          <a:xfrm>
            <a:off x="1242948" y="1534206"/>
            <a:ext cx="1309592" cy="104878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descr="C:\Program Files (x86)\Microsoft Office\MEDIA\CAGCAT10\j0222015.wmf"/>
          <xdr:cNvPicPr>
            <a:picLocks noChangeAspect="1" noChangeArrowheads="1"/>
          </xdr:cNvPicPr>
        </xdr:nvPicPr>
        <xdr:blipFill>
          <a:blip xmlns:r="http://schemas.openxmlformats.org/officeDocument/2006/relationships" r:embed="rId2">
            <a:duotone>
              <a:prstClr val="black"/>
              <a:schemeClr val="accent3">
                <a:tint val="45000"/>
                <a:satMod val="400000"/>
              </a:schemeClr>
            </a:duotone>
            <a:extLst>
              <a:ext uri="{28A0092B-C50C-407E-A947-70E740481C1C}">
                <a14:useLocalDpi xmlns:a14="http://schemas.microsoft.com/office/drawing/2010/main" val="0"/>
              </a:ext>
            </a:extLst>
          </a:blip>
          <a:srcRect/>
          <a:stretch>
            <a:fillRect/>
          </a:stretch>
        </xdr:blipFill>
        <xdr:spPr bwMode="auto">
          <a:xfrm>
            <a:off x="7806313" y="1531083"/>
            <a:ext cx="961680" cy="99156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descr="C:\Program Files (x86)\Microsoft Office\MEDIA\CAGCAT10\j0293844.wmf"/>
          <xdr:cNvPicPr>
            <a:picLocks noChangeAspect="1" noChangeArrowheads="1"/>
          </xdr:cNvPicPr>
        </xdr:nvPicPr>
        <xdr:blipFill>
          <a:blip xmlns:r="http://schemas.openxmlformats.org/officeDocument/2006/relationships" r:embed="rId3">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4592149" y="1533554"/>
            <a:ext cx="922093" cy="9976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Users\mdunn\AppData\Local\Microsoft\Windows\Temporary%20Internet%20Files\Content.Outlook\MJK2DK22\Retirement%20Calculator%20Model%2020160322%20V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rms &amp; conditions of use"/>
      <sheetName val="Step 1 - Personal information"/>
      <sheetName val="Step 2 - Retirement calculator"/>
      <sheetName val="VicSuper 1"/>
      <sheetName val="VicSuper 2"/>
      <sheetName val="VicSuper 3"/>
      <sheetName val="Settings"/>
      <sheetName val="Pricing Calcs"/>
      <sheetName val="RIC Input"/>
      <sheetName val="Printout"/>
      <sheetName val="Mortality Charts"/>
      <sheetName val="SocialSecuritySettings"/>
      <sheetName val="Assumptions"/>
      <sheetName val="Challenger rates"/>
      <sheetName val="CommInsure rates"/>
      <sheetName val="Legend"/>
      <sheetName val="RIC Test Sheet"/>
      <sheetName val="TheIncomeRICOutput"/>
      <sheetName val="RIC Income Funnel of Doubt"/>
      <sheetName val="TheRICOutput"/>
      <sheetName val="RIC Funnel of doubt"/>
      <sheetName val="RIC Deterministic Output"/>
      <sheetName val="Investment Return Graphs"/>
      <sheetName val="Returns1"/>
      <sheetName val="Returns7"/>
      <sheetName val="Returns8"/>
      <sheetName val="CPI"/>
      <sheetName val="AWOTE"/>
      <sheetName val="TWDataNomYield"/>
      <sheetName val="HistoricalData"/>
      <sheetName val="How-To"/>
      <sheetName val="Changes"/>
    </sheetNames>
    <sheetDataSet>
      <sheetData sheetId="0"/>
      <sheetData sheetId="1">
        <row r="9">
          <cell r="E9" t="str">
            <v>Yes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mian Turier" refreshedDate="42611.384264699074" createdVersion="4" refreshedVersion="4" minRefreshableVersion="3" recordCount="160">
  <cacheSource type="worksheet">
    <worksheetSource ref="B12:H172" sheet="Regular income pricing"/>
  </cacheSource>
  <cacheFields count="7">
    <cacheField name="Full case" numFmtId="0">
      <sharedItems count="160">
        <s v="60M0.8500.022"/>
        <s v="61M0.8500.022"/>
        <s v="62M0.8500.022"/>
        <s v="63M0.8500.022"/>
        <s v="64M0.8500.022"/>
        <s v="65M0.7500.022"/>
        <s v="66M0.7500.022"/>
        <s v="67M0.7500.022"/>
        <s v="68M0.7500.022"/>
        <s v="69M0.7500.022"/>
        <s v="70M0.7500.022"/>
        <s v="71M0.7500.022"/>
        <s v="72M0.7500.022"/>
        <s v="73M0.7500.022"/>
        <s v="74M0.7500.022"/>
        <s v="75M0.5500.022"/>
        <s v="76M0.5500.022"/>
        <s v="77M0.5500.022"/>
        <s v="78M0.5500.022"/>
        <s v="79M0.5500.022"/>
        <s v="60M0.8500"/>
        <s v="61M0.8500"/>
        <s v="62M0.8500"/>
        <s v="63M0.8500"/>
        <s v="64M0.8500"/>
        <s v="65M0.7500"/>
        <s v="66M0.7500"/>
        <s v="67M0.7500"/>
        <s v="68M0.7500"/>
        <s v="69M0.7500"/>
        <s v="70M0.7500"/>
        <s v="71M0.7500"/>
        <s v="72M0.7500"/>
        <s v="73M0.7500"/>
        <s v="74M0.7500"/>
        <s v="75M0.5500"/>
        <s v="76M0.5500"/>
        <s v="77M0.5500"/>
        <s v="78M0.5500"/>
        <s v="79M0.5500"/>
        <s v="60M0.7-0.020.022"/>
        <s v="61M0.7-0.020.022"/>
        <s v="62M0.7-0.020.022"/>
        <s v="63M0.7-0.020.022"/>
        <s v="64M0.7-0.020.022"/>
        <s v="65M0.6-0.020.022"/>
        <s v="66M0.6-0.020.022"/>
        <s v="67M0.6-0.020.022"/>
        <s v="68M0.6-0.020.022"/>
        <s v="69M0.6-0.020.022"/>
        <s v="70M0.6-0.020.022"/>
        <s v="71M0.6-0.020.022"/>
        <s v="72M0.6-0.020.022"/>
        <s v="73M0.6-0.020.022"/>
        <s v="74M0.6-0.020.022"/>
        <s v="75M0.4-0.020.022"/>
        <s v="76M0.4-0.020.022"/>
        <s v="77M0.4-0.020.022"/>
        <s v="78M0.4-0.020.022"/>
        <s v="79M0.4-0.020.022"/>
        <s v="60M0.7-0.020"/>
        <s v="61M0.7-0.020"/>
        <s v="62M0.7-0.020"/>
        <s v="63M0.7-0.020"/>
        <s v="64M0.7-0.020"/>
        <s v="65M0.6-0.020"/>
        <s v="66M0.6-0.020"/>
        <s v="67M0.6-0.020"/>
        <s v="68M0.6-0.020"/>
        <s v="69M0.6-0.020"/>
        <s v="70M0.6-0.020"/>
        <s v="71M0.6-0.020"/>
        <s v="72M0.6-0.020"/>
        <s v="73M0.6-0.020"/>
        <s v="74M0.6-0.020"/>
        <s v="75M0.4-0.020"/>
        <s v="76M0.4-0.020"/>
        <s v="77M0.4-0.020"/>
        <s v="78M0.4-0.020"/>
        <s v="79M0.4-0.020"/>
        <s v="60F0.8500.022"/>
        <s v="61F0.8500.022"/>
        <s v="62F0.8500.022"/>
        <s v="63F0.8500.022"/>
        <s v="64F0.8500.022"/>
        <s v="65F0.7500.022"/>
        <s v="66F0.7500.022"/>
        <s v="67F0.7500.022"/>
        <s v="68F0.7500.022"/>
        <s v="69F0.7500.022"/>
        <s v="70F0.7500.022"/>
        <s v="71F0.7500.022"/>
        <s v="72F0.7500.022"/>
        <s v="73F0.7500.022"/>
        <s v="74F0.7500.022"/>
        <s v="75F0.5500.022"/>
        <s v="76F0.5500.022"/>
        <s v="77F0.5500.022"/>
        <s v="78F0.5500.022"/>
        <s v="79F0.5500.022"/>
        <s v="60F0.8500"/>
        <s v="61F0.8500"/>
        <s v="62F0.8500"/>
        <s v="63F0.8500"/>
        <s v="64F0.8500"/>
        <s v="65F0.7500"/>
        <s v="66F0.7500"/>
        <s v="67F0.7500"/>
        <s v="68F0.7500"/>
        <s v="69F0.7500"/>
        <s v="70F0.7500"/>
        <s v="71F0.7500"/>
        <s v="72F0.7500"/>
        <s v="73F0.7500"/>
        <s v="74F0.7500"/>
        <s v="75F0.5500"/>
        <s v="76F0.5500"/>
        <s v="77F0.5500"/>
        <s v="78F0.5500"/>
        <s v="79F0.5500"/>
        <s v="60F0.7-0.020.022"/>
        <s v="61F0.7-0.020.022"/>
        <s v="62F0.7-0.020.022"/>
        <s v="63F0.7-0.020.022"/>
        <s v="64F0.7-0.020.022"/>
        <s v="65F0.6-0.020.022"/>
        <s v="66F0.6-0.020.022"/>
        <s v="67F0.6-0.020.022"/>
        <s v="68F0.6-0.020.022"/>
        <s v="69F0.6-0.020.022"/>
        <s v="70F0.6-0.020.022"/>
        <s v="71F0.6-0.020.022"/>
        <s v="72F0.6-0.020.022"/>
        <s v="73F0.6-0.020.022"/>
        <s v="74F0.6-0.020.022"/>
        <s v="75F0.4-0.020.022"/>
        <s v="76F0.4-0.020.022"/>
        <s v="77F0.4-0.020.022"/>
        <s v="78F0.4-0.020.022"/>
        <s v="79F0.4-0.020.022"/>
        <s v="60F0.7-0.020"/>
        <s v="61F0.7-0.020"/>
        <s v="62F0.7-0.020"/>
        <s v="63F0.7-0.020"/>
        <s v="64F0.7-0.020"/>
        <s v="65F0.6-0.020"/>
        <s v="66F0.6-0.020"/>
        <s v="67F0.6-0.020"/>
        <s v="68F0.6-0.020"/>
        <s v="69F0.6-0.020"/>
        <s v="70F0.6-0.020"/>
        <s v="71F0.6-0.020"/>
        <s v="72F0.6-0.020"/>
        <s v="73F0.6-0.020"/>
        <s v="74F0.6-0.020"/>
        <s v="75F0.4-0.020"/>
        <s v="76F0.4-0.020"/>
        <s v="77F0.4-0.020"/>
        <s v="78F0.4-0.020"/>
        <s v="79F0.4-0.020"/>
      </sharedItems>
    </cacheField>
    <cacheField name="Life1_Age" numFmtId="0">
      <sharedItems containsSemiMixedTypes="0" containsString="0" containsNumber="1" containsInteger="1" minValue="60" maxValue="79"/>
    </cacheField>
    <cacheField name="Life1_Gender" numFmtId="0">
      <sharedItems/>
    </cacheField>
    <cacheField name="CVWithdrawalRCV" numFmtId="9">
      <sharedItems containsSemiMixedTypes="0" containsString="0" containsNumber="1" minValue="0.4" maxValue="0.85"/>
    </cacheField>
    <cacheField name="IndexationCPISpread" numFmtId="0">
      <sharedItems containsSemiMixedTypes="0" containsString="0" containsNumber="1" minValue="-0.02" maxValue="0"/>
    </cacheField>
    <cacheField name="InitialCommissionRate" numFmtId="10">
      <sharedItems containsSemiMixedTypes="0" containsString="0" containsNumber="1" minValue="0" maxValue="2.1999999999999999E-2"/>
    </cacheField>
    <cacheField name="YearlyPaymentAmount" numFmtId="0">
      <sharedItems containsSemiMixedTypes="0" containsString="0" containsNumber="1" minValue="4000.08" maxValue="610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0">
  <r>
    <x v="0"/>
    <n v="60"/>
    <s v="M"/>
    <n v="0.85"/>
    <n v="0"/>
    <n v="2.1999999999999999E-2"/>
    <n v="4000.08"/>
  </r>
  <r>
    <x v="1"/>
    <n v="61"/>
    <s v="M"/>
    <n v="0.85"/>
    <n v="0"/>
    <n v="2.1999999999999999E-2"/>
    <n v="4000.08"/>
  </r>
  <r>
    <x v="2"/>
    <n v="62"/>
    <s v="M"/>
    <n v="0.85"/>
    <n v="0"/>
    <n v="2.1999999999999999E-2"/>
    <n v="4000.08"/>
  </r>
  <r>
    <x v="3"/>
    <n v="63"/>
    <s v="M"/>
    <n v="0.85"/>
    <n v="0"/>
    <n v="2.1999999999999999E-2"/>
    <n v="4000.08"/>
  </r>
  <r>
    <x v="4"/>
    <n v="64"/>
    <s v="M"/>
    <n v="0.85"/>
    <n v="0"/>
    <n v="2.1999999999999999E-2"/>
    <n v="4000.08"/>
  </r>
  <r>
    <x v="5"/>
    <n v="65"/>
    <s v="M"/>
    <n v="0.75"/>
    <n v="0"/>
    <n v="2.1999999999999999E-2"/>
    <n v="5000.04"/>
  </r>
  <r>
    <x v="6"/>
    <n v="66"/>
    <s v="M"/>
    <n v="0.75"/>
    <n v="0"/>
    <n v="2.1999999999999999E-2"/>
    <n v="5000.04"/>
  </r>
  <r>
    <x v="7"/>
    <n v="67"/>
    <s v="M"/>
    <n v="0.75"/>
    <n v="0"/>
    <n v="2.1999999999999999E-2"/>
    <n v="5000.04"/>
  </r>
  <r>
    <x v="8"/>
    <n v="68"/>
    <s v="M"/>
    <n v="0.75"/>
    <n v="0"/>
    <n v="2.1999999999999999E-2"/>
    <n v="5000.04"/>
  </r>
  <r>
    <x v="9"/>
    <n v="69"/>
    <s v="M"/>
    <n v="0.75"/>
    <n v="0"/>
    <n v="2.1999999999999999E-2"/>
    <n v="5000.04"/>
  </r>
  <r>
    <x v="10"/>
    <n v="70"/>
    <s v="M"/>
    <n v="0.75"/>
    <n v="0"/>
    <n v="2.1999999999999999E-2"/>
    <n v="5000.04"/>
  </r>
  <r>
    <x v="11"/>
    <n v="71"/>
    <s v="M"/>
    <n v="0.75"/>
    <n v="0"/>
    <n v="2.1999999999999999E-2"/>
    <n v="5000.04"/>
  </r>
  <r>
    <x v="12"/>
    <n v="72"/>
    <s v="M"/>
    <n v="0.75"/>
    <n v="0"/>
    <n v="2.1999999999999999E-2"/>
    <n v="5000.04"/>
  </r>
  <r>
    <x v="13"/>
    <n v="73"/>
    <s v="M"/>
    <n v="0.75"/>
    <n v="0"/>
    <n v="2.1999999999999999E-2"/>
    <n v="5000.04"/>
  </r>
  <r>
    <x v="14"/>
    <n v="74"/>
    <s v="M"/>
    <n v="0.75"/>
    <n v="0"/>
    <n v="2.1999999999999999E-2"/>
    <n v="5000.04"/>
  </r>
  <r>
    <x v="15"/>
    <n v="75"/>
    <s v="M"/>
    <n v="0.55000000000000004"/>
    <n v="0"/>
    <n v="2.1999999999999999E-2"/>
    <n v="6000"/>
  </r>
  <r>
    <x v="16"/>
    <n v="76"/>
    <s v="M"/>
    <n v="0.55000000000000004"/>
    <n v="0"/>
    <n v="2.1999999999999999E-2"/>
    <n v="6000"/>
  </r>
  <r>
    <x v="17"/>
    <n v="77"/>
    <s v="M"/>
    <n v="0.55000000000000004"/>
    <n v="0"/>
    <n v="2.1999999999999999E-2"/>
    <n v="6000"/>
  </r>
  <r>
    <x v="18"/>
    <n v="78"/>
    <s v="M"/>
    <n v="0.55000000000000004"/>
    <n v="0"/>
    <n v="2.1999999999999999E-2"/>
    <n v="6000"/>
  </r>
  <r>
    <x v="19"/>
    <n v="79"/>
    <s v="M"/>
    <n v="0.55000000000000004"/>
    <n v="0"/>
    <n v="2.1999999999999999E-2"/>
    <n v="6000"/>
  </r>
  <r>
    <x v="20"/>
    <n v="60"/>
    <s v="M"/>
    <n v="0.85"/>
    <n v="0"/>
    <n v="0"/>
    <n v="4000.08"/>
  </r>
  <r>
    <x v="21"/>
    <n v="61"/>
    <s v="M"/>
    <n v="0.85"/>
    <n v="0"/>
    <n v="0"/>
    <n v="4000.08"/>
  </r>
  <r>
    <x v="22"/>
    <n v="62"/>
    <s v="M"/>
    <n v="0.85"/>
    <n v="0"/>
    <n v="0"/>
    <n v="4000.08"/>
  </r>
  <r>
    <x v="23"/>
    <n v="63"/>
    <s v="M"/>
    <n v="0.85"/>
    <n v="0"/>
    <n v="0"/>
    <n v="4000.08"/>
  </r>
  <r>
    <x v="24"/>
    <n v="64"/>
    <s v="M"/>
    <n v="0.85"/>
    <n v="0"/>
    <n v="0"/>
    <n v="4000.08"/>
  </r>
  <r>
    <x v="25"/>
    <n v="65"/>
    <s v="M"/>
    <n v="0.75"/>
    <n v="0"/>
    <n v="0"/>
    <n v="5000.04"/>
  </r>
  <r>
    <x v="26"/>
    <n v="66"/>
    <s v="M"/>
    <n v="0.75"/>
    <n v="0"/>
    <n v="0"/>
    <n v="5000.04"/>
  </r>
  <r>
    <x v="27"/>
    <n v="67"/>
    <s v="M"/>
    <n v="0.75"/>
    <n v="0"/>
    <n v="0"/>
    <n v="5000.04"/>
  </r>
  <r>
    <x v="28"/>
    <n v="68"/>
    <s v="M"/>
    <n v="0.75"/>
    <n v="0"/>
    <n v="0"/>
    <n v="5000.04"/>
  </r>
  <r>
    <x v="29"/>
    <n v="69"/>
    <s v="M"/>
    <n v="0.75"/>
    <n v="0"/>
    <n v="0"/>
    <n v="5000.04"/>
  </r>
  <r>
    <x v="30"/>
    <n v="70"/>
    <s v="M"/>
    <n v="0.75"/>
    <n v="0"/>
    <n v="0"/>
    <n v="5000.04"/>
  </r>
  <r>
    <x v="31"/>
    <n v="71"/>
    <s v="M"/>
    <n v="0.75"/>
    <n v="0"/>
    <n v="0"/>
    <n v="5000.04"/>
  </r>
  <r>
    <x v="32"/>
    <n v="72"/>
    <s v="M"/>
    <n v="0.75"/>
    <n v="0"/>
    <n v="0"/>
    <n v="5000.04"/>
  </r>
  <r>
    <x v="33"/>
    <n v="73"/>
    <s v="M"/>
    <n v="0.75"/>
    <n v="0"/>
    <n v="0"/>
    <n v="5000.04"/>
  </r>
  <r>
    <x v="34"/>
    <n v="74"/>
    <s v="M"/>
    <n v="0.75"/>
    <n v="0"/>
    <n v="0"/>
    <n v="5000.04"/>
  </r>
  <r>
    <x v="35"/>
    <n v="75"/>
    <s v="M"/>
    <n v="0.55000000000000004"/>
    <n v="0"/>
    <n v="0"/>
    <n v="6000"/>
  </r>
  <r>
    <x v="36"/>
    <n v="76"/>
    <s v="M"/>
    <n v="0.55000000000000004"/>
    <n v="0"/>
    <n v="0"/>
    <n v="6000"/>
  </r>
  <r>
    <x v="37"/>
    <n v="77"/>
    <s v="M"/>
    <n v="0.55000000000000004"/>
    <n v="0"/>
    <n v="0"/>
    <n v="6000"/>
  </r>
  <r>
    <x v="38"/>
    <n v="78"/>
    <s v="M"/>
    <n v="0.55000000000000004"/>
    <n v="0"/>
    <n v="0"/>
    <n v="6000"/>
  </r>
  <r>
    <x v="39"/>
    <n v="79"/>
    <s v="M"/>
    <n v="0.55000000000000004"/>
    <n v="0"/>
    <n v="0"/>
    <n v="6000"/>
  </r>
  <r>
    <x v="40"/>
    <n v="60"/>
    <s v="M"/>
    <n v="0.7"/>
    <n v="-0.02"/>
    <n v="2.1999999999999999E-2"/>
    <n v="4000.08"/>
  </r>
  <r>
    <x v="41"/>
    <n v="61"/>
    <s v="M"/>
    <n v="0.7"/>
    <n v="-0.02"/>
    <n v="2.1999999999999999E-2"/>
    <n v="4029.24"/>
  </r>
  <r>
    <x v="42"/>
    <n v="62"/>
    <s v="M"/>
    <n v="0.7"/>
    <n v="-0.02"/>
    <n v="2.1999999999999999E-2"/>
    <n v="4076.5199999999995"/>
  </r>
  <r>
    <x v="43"/>
    <n v="63"/>
    <s v="M"/>
    <n v="0.7"/>
    <n v="-0.02"/>
    <n v="2.1999999999999999E-2"/>
    <n v="4119.12"/>
  </r>
  <r>
    <x v="44"/>
    <n v="64"/>
    <s v="M"/>
    <n v="0.7"/>
    <n v="-0.02"/>
    <n v="2.1999999999999999E-2"/>
    <n v="4154.3999999999996"/>
  </r>
  <r>
    <x v="45"/>
    <n v="65"/>
    <s v="M"/>
    <n v="0.6"/>
    <n v="-0.02"/>
    <n v="2.1999999999999999E-2"/>
    <n v="5000.04"/>
  </r>
  <r>
    <x v="46"/>
    <n v="66"/>
    <s v="M"/>
    <n v="0.6"/>
    <n v="-0.02"/>
    <n v="2.1999999999999999E-2"/>
    <n v="5000.04"/>
  </r>
  <r>
    <x v="47"/>
    <n v="67"/>
    <s v="M"/>
    <n v="0.6"/>
    <n v="-0.02"/>
    <n v="2.1999999999999999E-2"/>
    <n v="5000.04"/>
  </r>
  <r>
    <x v="48"/>
    <n v="68"/>
    <s v="M"/>
    <n v="0.6"/>
    <n v="-0.02"/>
    <n v="2.1999999999999999E-2"/>
    <n v="5000.04"/>
  </r>
  <r>
    <x v="49"/>
    <n v="69"/>
    <s v="M"/>
    <n v="0.6"/>
    <n v="-0.02"/>
    <n v="2.1999999999999999E-2"/>
    <n v="5000.04"/>
  </r>
  <r>
    <x v="50"/>
    <n v="70"/>
    <s v="M"/>
    <n v="0.6"/>
    <n v="-0.02"/>
    <n v="2.1999999999999999E-2"/>
    <n v="5000.04"/>
  </r>
  <r>
    <x v="51"/>
    <n v="71"/>
    <s v="M"/>
    <n v="0.6"/>
    <n v="-0.02"/>
    <n v="2.1999999999999999E-2"/>
    <n v="5000.04"/>
  </r>
  <r>
    <x v="52"/>
    <n v="72"/>
    <s v="M"/>
    <n v="0.6"/>
    <n v="-0.02"/>
    <n v="2.1999999999999999E-2"/>
    <n v="5000.04"/>
  </r>
  <r>
    <x v="53"/>
    <n v="73"/>
    <s v="M"/>
    <n v="0.6"/>
    <n v="-0.02"/>
    <n v="2.1999999999999999E-2"/>
    <n v="5000.04"/>
  </r>
  <r>
    <x v="54"/>
    <n v="74"/>
    <s v="M"/>
    <n v="0.6"/>
    <n v="-0.02"/>
    <n v="2.1999999999999999E-2"/>
    <n v="5000.04"/>
  </r>
  <r>
    <x v="55"/>
    <n v="75"/>
    <s v="M"/>
    <n v="0.4"/>
    <n v="-0.02"/>
    <n v="2.1999999999999999E-2"/>
    <n v="6000"/>
  </r>
  <r>
    <x v="56"/>
    <n v="76"/>
    <s v="M"/>
    <n v="0.4"/>
    <n v="-0.02"/>
    <n v="2.1999999999999999E-2"/>
    <n v="6000"/>
  </r>
  <r>
    <x v="57"/>
    <n v="77"/>
    <s v="M"/>
    <n v="0.4"/>
    <n v="-0.02"/>
    <n v="2.1999999999999999E-2"/>
    <n v="6000"/>
  </r>
  <r>
    <x v="58"/>
    <n v="78"/>
    <s v="M"/>
    <n v="0.4"/>
    <n v="-0.02"/>
    <n v="2.1999999999999999E-2"/>
    <n v="6000"/>
  </r>
  <r>
    <x v="59"/>
    <n v="79"/>
    <s v="M"/>
    <n v="0.4"/>
    <n v="-0.02"/>
    <n v="2.1999999999999999E-2"/>
    <n v="6000"/>
  </r>
  <r>
    <x v="60"/>
    <n v="60"/>
    <s v="M"/>
    <n v="0.7"/>
    <n v="-0.02"/>
    <n v="0"/>
    <n v="4067.16"/>
  </r>
  <r>
    <x v="61"/>
    <n v="61"/>
    <s v="M"/>
    <n v="0.7"/>
    <n v="-0.02"/>
    <n v="0"/>
    <n v="4120.2"/>
  </r>
  <r>
    <x v="62"/>
    <n v="62"/>
    <s v="M"/>
    <n v="0.7"/>
    <n v="-0.02"/>
    <n v="0"/>
    <n v="4170.72"/>
  </r>
  <r>
    <x v="63"/>
    <n v="63"/>
    <s v="M"/>
    <n v="0.7"/>
    <n v="-0.02"/>
    <n v="0"/>
    <n v="4217.3999999999996"/>
  </r>
  <r>
    <x v="64"/>
    <n v="64"/>
    <s v="M"/>
    <n v="0.7"/>
    <n v="-0.02"/>
    <n v="0"/>
    <n v="4258.2"/>
  </r>
  <r>
    <x v="65"/>
    <n v="65"/>
    <s v="M"/>
    <n v="0.6"/>
    <n v="-0.02"/>
    <n v="0"/>
    <n v="5000.04"/>
  </r>
  <r>
    <x v="66"/>
    <n v="66"/>
    <s v="M"/>
    <n v="0.6"/>
    <n v="-0.02"/>
    <n v="0"/>
    <n v="5000.04"/>
  </r>
  <r>
    <x v="67"/>
    <n v="67"/>
    <s v="M"/>
    <n v="0.6"/>
    <n v="-0.02"/>
    <n v="0"/>
    <n v="5000.04"/>
  </r>
  <r>
    <x v="68"/>
    <n v="68"/>
    <s v="M"/>
    <n v="0.6"/>
    <n v="-0.02"/>
    <n v="0"/>
    <n v="5000.04"/>
  </r>
  <r>
    <x v="69"/>
    <n v="69"/>
    <s v="M"/>
    <n v="0.6"/>
    <n v="-0.02"/>
    <n v="0"/>
    <n v="5000.04"/>
  </r>
  <r>
    <x v="70"/>
    <n v="70"/>
    <s v="M"/>
    <n v="0.6"/>
    <n v="-0.02"/>
    <n v="0"/>
    <n v="5000.04"/>
  </r>
  <r>
    <x v="71"/>
    <n v="71"/>
    <s v="M"/>
    <n v="0.6"/>
    <n v="-0.02"/>
    <n v="0"/>
    <n v="5000.04"/>
  </r>
  <r>
    <x v="72"/>
    <n v="72"/>
    <s v="M"/>
    <n v="0.6"/>
    <n v="-0.02"/>
    <n v="0"/>
    <n v="5000.04"/>
  </r>
  <r>
    <x v="73"/>
    <n v="73"/>
    <s v="M"/>
    <n v="0.6"/>
    <n v="-0.02"/>
    <n v="0"/>
    <n v="5000.04"/>
  </r>
  <r>
    <x v="74"/>
    <n v="74"/>
    <s v="M"/>
    <n v="0.6"/>
    <n v="-0.02"/>
    <n v="0"/>
    <n v="5000.04"/>
  </r>
  <r>
    <x v="75"/>
    <n v="75"/>
    <s v="M"/>
    <n v="0.4"/>
    <n v="-0.02"/>
    <n v="0"/>
    <n v="6000"/>
  </r>
  <r>
    <x v="76"/>
    <n v="76"/>
    <s v="M"/>
    <n v="0.4"/>
    <n v="-0.02"/>
    <n v="0"/>
    <n v="6000"/>
  </r>
  <r>
    <x v="77"/>
    <n v="77"/>
    <s v="M"/>
    <n v="0.4"/>
    <n v="-0.02"/>
    <n v="0"/>
    <n v="6012.72"/>
  </r>
  <r>
    <x v="78"/>
    <n v="78"/>
    <s v="M"/>
    <n v="0.4"/>
    <n v="-0.02"/>
    <n v="0"/>
    <n v="6059.6399999999994"/>
  </r>
  <r>
    <x v="79"/>
    <n v="79"/>
    <s v="M"/>
    <n v="0.4"/>
    <n v="-0.02"/>
    <n v="0"/>
    <n v="6101.4"/>
  </r>
  <r>
    <x v="80"/>
    <n v="60"/>
    <s v="F"/>
    <n v="0.85"/>
    <n v="0"/>
    <n v="2.1999999999999999E-2"/>
    <n v="4000.08"/>
  </r>
  <r>
    <x v="81"/>
    <n v="61"/>
    <s v="F"/>
    <n v="0.85"/>
    <n v="0"/>
    <n v="2.1999999999999999E-2"/>
    <n v="4000.08"/>
  </r>
  <r>
    <x v="82"/>
    <n v="62"/>
    <s v="F"/>
    <n v="0.85"/>
    <n v="0"/>
    <n v="2.1999999999999999E-2"/>
    <n v="4000.08"/>
  </r>
  <r>
    <x v="83"/>
    <n v="63"/>
    <s v="F"/>
    <n v="0.85"/>
    <n v="0"/>
    <n v="2.1999999999999999E-2"/>
    <n v="4000.08"/>
  </r>
  <r>
    <x v="84"/>
    <n v="64"/>
    <s v="F"/>
    <n v="0.85"/>
    <n v="0"/>
    <n v="2.1999999999999999E-2"/>
    <n v="4000.08"/>
  </r>
  <r>
    <x v="85"/>
    <n v="65"/>
    <s v="F"/>
    <n v="0.75"/>
    <n v="0"/>
    <n v="2.1999999999999999E-2"/>
    <n v="5000.04"/>
  </r>
  <r>
    <x v="86"/>
    <n v="66"/>
    <s v="F"/>
    <n v="0.75"/>
    <n v="0"/>
    <n v="2.1999999999999999E-2"/>
    <n v="5000.04"/>
  </r>
  <r>
    <x v="87"/>
    <n v="67"/>
    <s v="F"/>
    <n v="0.75"/>
    <n v="0"/>
    <n v="2.1999999999999999E-2"/>
    <n v="5000.04"/>
  </r>
  <r>
    <x v="88"/>
    <n v="68"/>
    <s v="F"/>
    <n v="0.75"/>
    <n v="0"/>
    <n v="2.1999999999999999E-2"/>
    <n v="5000.04"/>
  </r>
  <r>
    <x v="89"/>
    <n v="69"/>
    <s v="F"/>
    <n v="0.75"/>
    <n v="0"/>
    <n v="2.1999999999999999E-2"/>
    <n v="5000.04"/>
  </r>
  <r>
    <x v="90"/>
    <n v="70"/>
    <s v="F"/>
    <n v="0.75"/>
    <n v="0"/>
    <n v="2.1999999999999999E-2"/>
    <n v="5000.04"/>
  </r>
  <r>
    <x v="91"/>
    <n v="71"/>
    <s v="F"/>
    <n v="0.75"/>
    <n v="0"/>
    <n v="2.1999999999999999E-2"/>
    <n v="5000.04"/>
  </r>
  <r>
    <x v="92"/>
    <n v="72"/>
    <s v="F"/>
    <n v="0.75"/>
    <n v="0"/>
    <n v="2.1999999999999999E-2"/>
    <n v="5000.04"/>
  </r>
  <r>
    <x v="93"/>
    <n v="73"/>
    <s v="F"/>
    <n v="0.75"/>
    <n v="0"/>
    <n v="2.1999999999999999E-2"/>
    <n v="5000.04"/>
  </r>
  <r>
    <x v="94"/>
    <n v="74"/>
    <s v="F"/>
    <n v="0.75"/>
    <n v="0"/>
    <n v="2.1999999999999999E-2"/>
    <n v="5000.04"/>
  </r>
  <r>
    <x v="95"/>
    <n v="75"/>
    <s v="F"/>
    <n v="0.55000000000000004"/>
    <n v="0"/>
    <n v="2.1999999999999999E-2"/>
    <n v="6000"/>
  </r>
  <r>
    <x v="96"/>
    <n v="76"/>
    <s v="F"/>
    <n v="0.55000000000000004"/>
    <n v="0"/>
    <n v="2.1999999999999999E-2"/>
    <n v="6000"/>
  </r>
  <r>
    <x v="97"/>
    <n v="77"/>
    <s v="F"/>
    <n v="0.55000000000000004"/>
    <n v="0"/>
    <n v="2.1999999999999999E-2"/>
    <n v="6000"/>
  </r>
  <r>
    <x v="98"/>
    <n v="78"/>
    <s v="F"/>
    <n v="0.55000000000000004"/>
    <n v="0"/>
    <n v="2.1999999999999999E-2"/>
    <n v="6000"/>
  </r>
  <r>
    <x v="99"/>
    <n v="79"/>
    <s v="F"/>
    <n v="0.55000000000000004"/>
    <n v="0"/>
    <n v="2.1999999999999999E-2"/>
    <n v="6000"/>
  </r>
  <r>
    <x v="100"/>
    <n v="60"/>
    <s v="F"/>
    <n v="0.85"/>
    <n v="0"/>
    <n v="0"/>
    <n v="4000.08"/>
  </r>
  <r>
    <x v="101"/>
    <n v="61"/>
    <s v="F"/>
    <n v="0.85"/>
    <n v="0"/>
    <n v="0"/>
    <n v="4000.08"/>
  </r>
  <r>
    <x v="102"/>
    <n v="62"/>
    <s v="F"/>
    <n v="0.85"/>
    <n v="0"/>
    <n v="0"/>
    <n v="4000.08"/>
  </r>
  <r>
    <x v="103"/>
    <n v="63"/>
    <s v="F"/>
    <n v="0.85"/>
    <n v="0"/>
    <n v="0"/>
    <n v="4000.08"/>
  </r>
  <r>
    <x v="104"/>
    <n v="64"/>
    <s v="F"/>
    <n v="0.85"/>
    <n v="0"/>
    <n v="0"/>
    <n v="4000.08"/>
  </r>
  <r>
    <x v="105"/>
    <n v="65"/>
    <s v="F"/>
    <n v="0.75"/>
    <n v="0"/>
    <n v="0"/>
    <n v="5000.04"/>
  </r>
  <r>
    <x v="106"/>
    <n v="66"/>
    <s v="F"/>
    <n v="0.75"/>
    <n v="0"/>
    <n v="0"/>
    <n v="5000.04"/>
  </r>
  <r>
    <x v="107"/>
    <n v="67"/>
    <s v="F"/>
    <n v="0.75"/>
    <n v="0"/>
    <n v="0"/>
    <n v="5000.04"/>
  </r>
  <r>
    <x v="108"/>
    <n v="68"/>
    <s v="F"/>
    <n v="0.75"/>
    <n v="0"/>
    <n v="0"/>
    <n v="5000.04"/>
  </r>
  <r>
    <x v="109"/>
    <n v="69"/>
    <s v="F"/>
    <n v="0.75"/>
    <n v="0"/>
    <n v="0"/>
    <n v="5000.04"/>
  </r>
  <r>
    <x v="110"/>
    <n v="70"/>
    <s v="F"/>
    <n v="0.75"/>
    <n v="0"/>
    <n v="0"/>
    <n v="5000.04"/>
  </r>
  <r>
    <x v="111"/>
    <n v="71"/>
    <s v="F"/>
    <n v="0.75"/>
    <n v="0"/>
    <n v="0"/>
    <n v="5000.04"/>
  </r>
  <r>
    <x v="112"/>
    <n v="72"/>
    <s v="F"/>
    <n v="0.75"/>
    <n v="0"/>
    <n v="0"/>
    <n v="5000.04"/>
  </r>
  <r>
    <x v="113"/>
    <n v="73"/>
    <s v="F"/>
    <n v="0.75"/>
    <n v="0"/>
    <n v="0"/>
    <n v="5000.04"/>
  </r>
  <r>
    <x v="114"/>
    <n v="74"/>
    <s v="F"/>
    <n v="0.75"/>
    <n v="0"/>
    <n v="0"/>
    <n v="5000.04"/>
  </r>
  <r>
    <x v="115"/>
    <n v="75"/>
    <s v="F"/>
    <n v="0.55000000000000004"/>
    <n v="0"/>
    <n v="0"/>
    <n v="6000"/>
  </r>
  <r>
    <x v="116"/>
    <n v="76"/>
    <s v="F"/>
    <n v="0.55000000000000004"/>
    <n v="0"/>
    <n v="0"/>
    <n v="6000"/>
  </r>
  <r>
    <x v="117"/>
    <n v="77"/>
    <s v="F"/>
    <n v="0.55000000000000004"/>
    <n v="0"/>
    <n v="0"/>
    <n v="6000"/>
  </r>
  <r>
    <x v="118"/>
    <n v="78"/>
    <s v="F"/>
    <n v="0.55000000000000004"/>
    <n v="0"/>
    <n v="0"/>
    <n v="6000"/>
  </r>
  <r>
    <x v="119"/>
    <n v="79"/>
    <s v="F"/>
    <n v="0.55000000000000004"/>
    <n v="0"/>
    <n v="0"/>
    <n v="6000"/>
  </r>
  <r>
    <x v="120"/>
    <n v="60"/>
    <s v="F"/>
    <n v="0.7"/>
    <n v="-0.02"/>
    <n v="2.1999999999999999E-2"/>
    <n v="4000.08"/>
  </r>
  <r>
    <x v="121"/>
    <n v="61"/>
    <s v="F"/>
    <n v="0.7"/>
    <n v="-0.02"/>
    <n v="2.1999999999999999E-2"/>
    <n v="4000.08"/>
  </r>
  <r>
    <x v="122"/>
    <n v="62"/>
    <s v="F"/>
    <n v="0.7"/>
    <n v="-0.02"/>
    <n v="2.1999999999999999E-2"/>
    <n v="4000.08"/>
  </r>
  <r>
    <x v="123"/>
    <n v="63"/>
    <s v="F"/>
    <n v="0.7"/>
    <n v="-0.02"/>
    <n v="2.1999999999999999E-2"/>
    <n v="4045.44"/>
  </r>
  <r>
    <x v="124"/>
    <n v="64"/>
    <s v="F"/>
    <n v="0.7"/>
    <n v="-0.02"/>
    <n v="2.1999999999999999E-2"/>
    <n v="4094.2799999999997"/>
  </r>
  <r>
    <x v="125"/>
    <n v="65"/>
    <s v="F"/>
    <n v="0.6"/>
    <n v="-0.02"/>
    <n v="2.1999999999999999E-2"/>
    <n v="5000.04"/>
  </r>
  <r>
    <x v="126"/>
    <n v="66"/>
    <s v="F"/>
    <n v="0.6"/>
    <n v="-0.02"/>
    <n v="2.1999999999999999E-2"/>
    <n v="5000.04"/>
  </r>
  <r>
    <x v="127"/>
    <n v="67"/>
    <s v="F"/>
    <n v="0.6"/>
    <n v="-0.02"/>
    <n v="2.1999999999999999E-2"/>
    <n v="5000.04"/>
  </r>
  <r>
    <x v="128"/>
    <n v="68"/>
    <s v="F"/>
    <n v="0.6"/>
    <n v="-0.02"/>
    <n v="2.1999999999999999E-2"/>
    <n v="5000.04"/>
  </r>
  <r>
    <x v="129"/>
    <n v="69"/>
    <s v="F"/>
    <n v="0.6"/>
    <n v="-0.02"/>
    <n v="2.1999999999999999E-2"/>
    <n v="5000.04"/>
  </r>
  <r>
    <x v="130"/>
    <n v="70"/>
    <s v="F"/>
    <n v="0.6"/>
    <n v="-0.02"/>
    <n v="2.1999999999999999E-2"/>
    <n v="5000.04"/>
  </r>
  <r>
    <x v="131"/>
    <n v="71"/>
    <s v="F"/>
    <n v="0.6"/>
    <n v="-0.02"/>
    <n v="2.1999999999999999E-2"/>
    <n v="5000.04"/>
  </r>
  <r>
    <x v="132"/>
    <n v="72"/>
    <s v="F"/>
    <n v="0.6"/>
    <n v="-0.02"/>
    <n v="2.1999999999999999E-2"/>
    <n v="5000.04"/>
  </r>
  <r>
    <x v="133"/>
    <n v="73"/>
    <s v="F"/>
    <n v="0.6"/>
    <n v="-0.02"/>
    <n v="2.1999999999999999E-2"/>
    <n v="5000.04"/>
  </r>
  <r>
    <x v="134"/>
    <n v="74"/>
    <s v="F"/>
    <n v="0.6"/>
    <n v="-0.02"/>
    <n v="2.1999999999999999E-2"/>
    <n v="5000.04"/>
  </r>
  <r>
    <x v="135"/>
    <n v="75"/>
    <s v="F"/>
    <n v="0.4"/>
    <n v="-0.02"/>
    <n v="2.1999999999999999E-2"/>
    <n v="6000"/>
  </r>
  <r>
    <x v="136"/>
    <n v="76"/>
    <s v="F"/>
    <n v="0.4"/>
    <n v="-0.02"/>
    <n v="2.1999999999999999E-2"/>
    <n v="6000"/>
  </r>
  <r>
    <x v="137"/>
    <n v="77"/>
    <s v="F"/>
    <n v="0.4"/>
    <n v="-0.02"/>
    <n v="2.1999999999999999E-2"/>
    <n v="6000"/>
  </r>
  <r>
    <x v="138"/>
    <n v="78"/>
    <s v="F"/>
    <n v="0.4"/>
    <n v="-0.02"/>
    <n v="2.1999999999999999E-2"/>
    <n v="6000"/>
  </r>
  <r>
    <x v="139"/>
    <n v="79"/>
    <s v="F"/>
    <n v="0.4"/>
    <n v="-0.02"/>
    <n v="2.1999999999999999E-2"/>
    <n v="6000"/>
  </r>
  <r>
    <x v="140"/>
    <n v="60"/>
    <s v="F"/>
    <n v="0.7"/>
    <n v="-0.02"/>
    <n v="0"/>
    <n v="4000.08"/>
  </r>
  <r>
    <x v="141"/>
    <n v="61"/>
    <s v="F"/>
    <n v="0.7"/>
    <n v="-0.02"/>
    <n v="0"/>
    <n v="4025.76"/>
  </r>
  <r>
    <x v="142"/>
    <n v="62"/>
    <s v="F"/>
    <n v="0.7"/>
    <n v="-0.02"/>
    <n v="0"/>
    <n v="4081.9199999999996"/>
  </r>
  <r>
    <x v="143"/>
    <n v="63"/>
    <s v="F"/>
    <n v="0.7"/>
    <n v="-0.02"/>
    <n v="0"/>
    <n v="4136.76"/>
  </r>
  <r>
    <x v="144"/>
    <n v="64"/>
    <s v="F"/>
    <n v="0.7"/>
    <n v="-0.02"/>
    <n v="0"/>
    <n v="4189.32"/>
  </r>
  <r>
    <x v="145"/>
    <n v="65"/>
    <s v="F"/>
    <n v="0.6"/>
    <n v="-0.02"/>
    <n v="0"/>
    <n v="5000.04"/>
  </r>
  <r>
    <x v="146"/>
    <n v="66"/>
    <s v="F"/>
    <n v="0.6"/>
    <n v="-0.02"/>
    <n v="0"/>
    <n v="5000.04"/>
  </r>
  <r>
    <x v="147"/>
    <n v="67"/>
    <s v="F"/>
    <n v="0.6"/>
    <n v="-0.02"/>
    <n v="0"/>
    <n v="5000.04"/>
  </r>
  <r>
    <x v="148"/>
    <n v="68"/>
    <s v="F"/>
    <n v="0.6"/>
    <n v="-0.02"/>
    <n v="0"/>
    <n v="5000.04"/>
  </r>
  <r>
    <x v="149"/>
    <n v="69"/>
    <s v="F"/>
    <n v="0.6"/>
    <n v="-0.02"/>
    <n v="0"/>
    <n v="5000.04"/>
  </r>
  <r>
    <x v="150"/>
    <n v="70"/>
    <s v="F"/>
    <n v="0.6"/>
    <n v="-0.02"/>
    <n v="0"/>
    <n v="5000.04"/>
  </r>
  <r>
    <x v="151"/>
    <n v="71"/>
    <s v="F"/>
    <n v="0.6"/>
    <n v="-0.02"/>
    <n v="0"/>
    <n v="5000.04"/>
  </r>
  <r>
    <x v="152"/>
    <n v="72"/>
    <s v="F"/>
    <n v="0.6"/>
    <n v="-0.02"/>
    <n v="0"/>
    <n v="5000.04"/>
  </r>
  <r>
    <x v="153"/>
    <n v="73"/>
    <s v="F"/>
    <n v="0.6"/>
    <n v="-0.02"/>
    <n v="0"/>
    <n v="5000.04"/>
  </r>
  <r>
    <x v="154"/>
    <n v="74"/>
    <s v="F"/>
    <n v="0.6"/>
    <n v="-0.02"/>
    <n v="0"/>
    <n v="5000.04"/>
  </r>
  <r>
    <x v="155"/>
    <n v="75"/>
    <s v="F"/>
    <n v="0.4"/>
    <n v="-0.02"/>
    <n v="0"/>
    <n v="6000"/>
  </r>
  <r>
    <x v="156"/>
    <n v="76"/>
    <s v="F"/>
    <n v="0.4"/>
    <n v="-0.02"/>
    <n v="0"/>
    <n v="6000"/>
  </r>
  <r>
    <x v="157"/>
    <n v="77"/>
    <s v="F"/>
    <n v="0.4"/>
    <n v="-0.02"/>
    <n v="0"/>
    <n v="6000"/>
  </r>
  <r>
    <x v="158"/>
    <n v="78"/>
    <s v="F"/>
    <n v="0.4"/>
    <n v="-0.02"/>
    <n v="0"/>
    <n v="6000"/>
  </r>
  <r>
    <x v="159"/>
    <n v="79"/>
    <s v="F"/>
    <n v="0.4"/>
    <n v="-0.02"/>
    <n v="0"/>
    <n v="6032.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L12:M173" firstHeaderRow="1" firstDataRow="1" firstDataCol="1"/>
  <pivotFields count="7">
    <pivotField axis="axisRow" showAll="0" sortType="ascending">
      <items count="161">
        <item x="140"/>
        <item x="120"/>
        <item x="100"/>
        <item x="80"/>
        <item x="60"/>
        <item x="40"/>
        <item x="20"/>
        <item x="0"/>
        <item x="141"/>
        <item x="121"/>
        <item x="101"/>
        <item x="81"/>
        <item x="61"/>
        <item x="41"/>
        <item x="21"/>
        <item x="1"/>
        <item x="142"/>
        <item x="122"/>
        <item x="102"/>
        <item x="82"/>
        <item x="62"/>
        <item x="42"/>
        <item x="22"/>
        <item x="2"/>
        <item x="143"/>
        <item x="123"/>
        <item x="103"/>
        <item x="83"/>
        <item x="63"/>
        <item x="43"/>
        <item x="23"/>
        <item x="3"/>
        <item x="144"/>
        <item x="124"/>
        <item x="104"/>
        <item x="84"/>
        <item x="64"/>
        <item x="44"/>
        <item x="24"/>
        <item x="4"/>
        <item x="145"/>
        <item x="125"/>
        <item x="105"/>
        <item x="85"/>
        <item x="65"/>
        <item x="45"/>
        <item x="25"/>
        <item x="5"/>
        <item x="146"/>
        <item x="126"/>
        <item x="106"/>
        <item x="86"/>
        <item x="66"/>
        <item x="46"/>
        <item x="26"/>
        <item x="6"/>
        <item x="147"/>
        <item x="127"/>
        <item x="107"/>
        <item x="87"/>
        <item x="67"/>
        <item x="47"/>
        <item x="27"/>
        <item x="7"/>
        <item x="148"/>
        <item x="128"/>
        <item x="108"/>
        <item x="88"/>
        <item x="68"/>
        <item x="48"/>
        <item x="28"/>
        <item x="8"/>
        <item x="149"/>
        <item x="129"/>
        <item x="109"/>
        <item x="89"/>
        <item x="69"/>
        <item x="49"/>
        <item x="29"/>
        <item x="9"/>
        <item x="150"/>
        <item x="130"/>
        <item x="110"/>
        <item x="90"/>
        <item x="70"/>
        <item x="50"/>
        <item x="30"/>
        <item x="10"/>
        <item x="151"/>
        <item x="131"/>
        <item x="111"/>
        <item x="91"/>
        <item x="71"/>
        <item x="51"/>
        <item x="31"/>
        <item x="11"/>
        <item x="152"/>
        <item x="132"/>
        <item x="112"/>
        <item x="92"/>
        <item x="72"/>
        <item x="52"/>
        <item x="32"/>
        <item x="12"/>
        <item x="153"/>
        <item x="133"/>
        <item x="113"/>
        <item x="93"/>
        <item x="73"/>
        <item x="53"/>
        <item x="33"/>
        <item x="13"/>
        <item x="154"/>
        <item x="134"/>
        <item x="114"/>
        <item x="94"/>
        <item x="74"/>
        <item x="54"/>
        <item x="34"/>
        <item x="14"/>
        <item x="155"/>
        <item x="135"/>
        <item x="115"/>
        <item x="95"/>
        <item x="75"/>
        <item x="55"/>
        <item x="35"/>
        <item x="15"/>
        <item x="156"/>
        <item x="136"/>
        <item x="116"/>
        <item x="96"/>
        <item x="76"/>
        <item x="56"/>
        <item x="36"/>
        <item x="16"/>
        <item x="157"/>
        <item x="137"/>
        <item x="117"/>
        <item x="97"/>
        <item x="77"/>
        <item x="57"/>
        <item x="37"/>
        <item x="17"/>
        <item x="158"/>
        <item x="138"/>
        <item x="118"/>
        <item x="98"/>
        <item x="78"/>
        <item x="58"/>
        <item x="38"/>
        <item x="18"/>
        <item x="159"/>
        <item x="139"/>
        <item x="119"/>
        <item x="99"/>
        <item x="79"/>
        <item x="59"/>
        <item x="39"/>
        <item x="19"/>
        <item t="default"/>
      </items>
    </pivotField>
    <pivotField showAll="0"/>
    <pivotField showAll="0"/>
    <pivotField numFmtId="9" showAll="0"/>
    <pivotField showAll="0"/>
    <pivotField numFmtId="10" showAll="0"/>
    <pivotField dataField="1" showAll="0"/>
  </pivotFields>
  <rowFields count="1">
    <field x="0"/>
  </rowFields>
  <rowItems count="1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t="grand">
      <x/>
    </i>
  </rowItems>
  <colItems count="1">
    <i/>
  </colItems>
  <dataFields count="1">
    <dataField name="Sum of YearlyPaymentAmount" fld="6"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file:///\\sharepoint\projects\Retirementincomecalculatorrebuild\Documents\Spreadsheet\" TargetMode="External"/><Relationship Id="rId7" Type="http://schemas.openxmlformats.org/officeDocument/2006/relationships/ctrlProp" Target="../ctrlProps/ctrlProp13.xml"/><Relationship Id="rId2" Type="http://schemas.openxmlformats.org/officeDocument/2006/relationships/hyperlink" Target="file:///\\sharepoint\projects\Retirementincomecalculatorrebuild\Documents\Spreadsheet\Test%20Cases" TargetMode="External"/><Relationship Id="rId1" Type="http://schemas.openxmlformats.org/officeDocument/2006/relationships/hyperlink" Target="file:///\\sharepoint\projects\Retirementincomecalculatorrebuild\Documents\Spreadsheet\Test%20Cases" TargetMode="External"/><Relationship Id="rId6" Type="http://schemas.openxmlformats.org/officeDocument/2006/relationships/vmlDrawing" Target="../drawings/vmlDrawing6.v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FFC000"/>
    <pageSetUpPr fitToPage="1"/>
  </sheetPr>
  <dimension ref="A4:U173"/>
  <sheetViews>
    <sheetView showGridLines="0" zoomScaleNormal="100" workbookViewId="0">
      <selection activeCell="D10" sqref="D10"/>
    </sheetView>
    <sheetView workbookViewId="1"/>
  </sheetViews>
  <sheetFormatPr defaultColWidth="11" defaultRowHeight="15.75"/>
  <cols>
    <col min="1" max="1" width="4.5" style="57" customWidth="1"/>
    <col min="2" max="2" width="7.375" style="4" customWidth="1"/>
    <col min="3" max="3" width="40" customWidth="1"/>
    <col min="4" max="4" width="32.5" customWidth="1"/>
    <col min="5" max="5" width="29.25" customWidth="1"/>
    <col min="6" max="6" width="19.625" customWidth="1"/>
    <col min="7" max="7" width="20.5" customWidth="1"/>
    <col min="8" max="8" width="13.5" customWidth="1"/>
    <col min="9" max="9" width="8.5" style="4" customWidth="1"/>
    <col min="10" max="10" width="26.25" customWidth="1"/>
    <col min="17" max="21" width="21.75" customWidth="1"/>
  </cols>
  <sheetData>
    <row r="4" spans="1:9">
      <c r="C4" s="370" t="s">
        <v>506</v>
      </c>
    </row>
    <row r="7" spans="1:9" ht="11.25" customHeight="1">
      <c r="A7" s="77"/>
      <c r="B7" s="77"/>
      <c r="C7" s="77"/>
      <c r="D7" s="77"/>
      <c r="E7" s="77"/>
      <c r="F7" s="77"/>
      <c r="G7" s="77"/>
      <c r="H7" s="77"/>
      <c r="I7" s="255"/>
    </row>
    <row r="8" spans="1:9" ht="16.5" customHeight="1">
      <c r="A8" s="78"/>
      <c r="B8" s="264" t="s">
        <v>96</v>
      </c>
      <c r="C8" s="78"/>
      <c r="D8" s="78"/>
      <c r="E8" s="78"/>
      <c r="F8" s="78"/>
      <c r="G8" s="78"/>
      <c r="H8" s="78"/>
      <c r="I8" s="35"/>
    </row>
    <row r="9" spans="1:9" ht="22.5" customHeight="1">
      <c r="A9" s="4"/>
      <c r="C9" s="4"/>
      <c r="G9" t="s">
        <v>57</v>
      </c>
    </row>
    <row r="10" spans="1:9" s="86" customFormat="1">
      <c r="A10" s="224"/>
      <c r="B10" s="256"/>
      <c r="C10" s="34" t="s">
        <v>154</v>
      </c>
      <c r="D10" s="1023">
        <f ca="1">ValuationDatePortA</f>
        <v>42696</v>
      </c>
      <c r="E10" s="94"/>
      <c r="F10" s="102"/>
      <c r="G10" s="102"/>
      <c r="H10" s="144"/>
      <c r="I10" s="102" t="s">
        <v>1155</v>
      </c>
    </row>
    <row r="11" spans="1:9">
      <c r="B11" s="257"/>
      <c r="C11" s="6"/>
      <c r="F11" s="4"/>
      <c r="G11" s="4"/>
      <c r="H11" s="986"/>
      <c r="I11" s="4" t="s">
        <v>1156</v>
      </c>
    </row>
    <row r="12" spans="1:9">
      <c r="B12" s="257"/>
      <c r="C12" s="6"/>
      <c r="D12" s="1" t="s">
        <v>22</v>
      </c>
      <c r="E12" s="1" t="s">
        <v>23</v>
      </c>
      <c r="F12" s="4"/>
      <c r="G12" s="4"/>
      <c r="H12" s="3"/>
      <c r="I12" s="4" t="s">
        <v>1157</v>
      </c>
    </row>
    <row r="13" spans="1:9">
      <c r="B13" s="257"/>
      <c r="C13" s="6"/>
      <c r="D13" s="386"/>
      <c r="E13" s="386"/>
      <c r="F13" s="4"/>
      <c r="G13" s="4"/>
      <c r="H13" s="987"/>
      <c r="I13" s="682" t="s">
        <v>1158</v>
      </c>
    </row>
    <row r="14" spans="1:9">
      <c r="B14" s="257"/>
      <c r="C14" s="6" t="s">
        <v>16</v>
      </c>
      <c r="D14" s="980">
        <f ca="1">DOBPerson1PortA</f>
        <v>18264</v>
      </c>
      <c r="E14" s="980">
        <f ca="1">DOBPerson2PortA</f>
        <v>18264</v>
      </c>
      <c r="F14" s="4"/>
      <c r="G14" s="4"/>
    </row>
    <row r="15" spans="1:9">
      <c r="B15" s="257"/>
      <c r="D15" s="30"/>
      <c r="E15" s="30"/>
      <c r="F15" s="4"/>
      <c r="G15" s="4"/>
    </row>
    <row r="16" spans="1:9">
      <c r="B16" s="257"/>
      <c r="C16" s="34" t="s">
        <v>45</v>
      </c>
      <c r="D16" s="981" t="str">
        <f ca="1">SexPerson1PortA</f>
        <v>M</v>
      </c>
      <c r="E16" s="981" t="str">
        <f ca="1">SexPerson2PortA</f>
        <v>M</v>
      </c>
      <c r="F16" s="93"/>
      <c r="G16" s="93"/>
    </row>
    <row r="17" spans="1:10">
      <c r="B17" s="257"/>
      <c r="C17" s="34"/>
      <c r="D17" s="13"/>
      <c r="E17" s="13"/>
      <c r="F17" s="93"/>
      <c r="G17" s="93"/>
    </row>
    <row r="18" spans="1:10">
      <c r="B18" s="257"/>
      <c r="C18" s="6" t="s">
        <v>46</v>
      </c>
      <c r="D18" s="982" t="b">
        <f>HomeownerStatusPortA</f>
        <v>1</v>
      </c>
      <c r="E18" s="13"/>
      <c r="F18" s="93"/>
      <c r="G18" s="93"/>
    </row>
    <row r="19" spans="1:10">
      <c r="C19" s="34"/>
      <c r="D19" s="36"/>
      <c r="E19" s="93"/>
      <c r="F19" s="356"/>
      <c r="G19" s="93"/>
    </row>
    <row r="20" spans="1:10">
      <c r="C20" s="34"/>
      <c r="D20" s="36"/>
      <c r="E20" s="36"/>
      <c r="F20" s="93"/>
      <c r="G20" s="93"/>
    </row>
    <row r="21" spans="1:10" ht="20.25" customHeight="1">
      <c r="A21" s="95"/>
      <c r="B21" s="264" t="s">
        <v>310</v>
      </c>
      <c r="C21" s="95"/>
      <c r="D21" s="95"/>
      <c r="E21" s="95"/>
      <c r="F21" s="95"/>
      <c r="G21" s="95"/>
      <c r="H21" s="95"/>
      <c r="I21" s="35"/>
    </row>
    <row r="22" spans="1:10" s="4" customFormat="1">
      <c r="B22" s="96"/>
      <c r="C22" s="96"/>
      <c r="D22" s="96"/>
      <c r="E22" s="96"/>
      <c r="H22" s="96"/>
      <c r="I22" s="35"/>
    </row>
    <row r="23" spans="1:10">
      <c r="A23" s="4"/>
      <c r="B23" s="258"/>
      <c r="C23" s="37" t="s">
        <v>155</v>
      </c>
      <c r="D23" s="981">
        <f>ReqIncomeYr1PortA</f>
        <v>70000</v>
      </c>
      <c r="E23" s="100" t="s">
        <v>47</v>
      </c>
      <c r="F23" s="83" t="s">
        <v>279</v>
      </c>
      <c r="G23" s="910">
        <v>34808.361917808223</v>
      </c>
      <c r="H23" s="231"/>
      <c r="I23" s="102"/>
      <c r="J23" s="86"/>
    </row>
    <row r="24" spans="1:10">
      <c r="B24" s="257"/>
      <c r="C24" s="34"/>
      <c r="D24" s="36"/>
      <c r="E24" s="93"/>
      <c r="F24" s="83" t="s">
        <v>224</v>
      </c>
      <c r="G24" s="911">
        <v>867308.36191780819</v>
      </c>
      <c r="H24" s="230"/>
    </row>
    <row r="25" spans="1:10">
      <c r="B25" s="257"/>
      <c r="C25" s="84" t="s">
        <v>219</v>
      </c>
      <c r="D25" s="981" t="str">
        <f>IncomeMgtPortA</f>
        <v>Maintain total target income</v>
      </c>
      <c r="E25" s="189"/>
      <c r="F25" s="50"/>
      <c r="G25" s="391"/>
      <c r="H25" s="230"/>
    </row>
    <row r="26" spans="1:10">
      <c r="B26" s="259"/>
      <c r="C26" s="34"/>
      <c r="D26" s="36"/>
      <c r="E26" s="36"/>
      <c r="F26" s="93"/>
      <c r="G26" s="93"/>
    </row>
    <row r="27" spans="1:10" ht="20.25" customHeight="1">
      <c r="A27" s="78"/>
      <c r="B27" s="264" t="s">
        <v>99</v>
      </c>
      <c r="C27" s="78"/>
      <c r="D27" s="78"/>
      <c r="E27" s="78"/>
      <c r="F27" s="78"/>
      <c r="G27" s="78"/>
      <c r="H27" s="78"/>
      <c r="I27" s="35"/>
    </row>
    <row r="28" spans="1:10" s="4" customFormat="1">
      <c r="B28" s="35"/>
      <c r="C28" s="35"/>
      <c r="D28" s="35"/>
      <c r="E28" s="35"/>
      <c r="F28" s="35"/>
      <c r="G28" s="35"/>
      <c r="H28" s="35"/>
      <c r="I28" s="35"/>
    </row>
    <row r="29" spans="1:10" s="4" customFormat="1">
      <c r="B29" s="35"/>
      <c r="C29" s="37" t="s">
        <v>218</v>
      </c>
      <c r="D29" s="222">
        <f>'APC portfolio inputs'!E29</f>
        <v>0</v>
      </c>
      <c r="E29" s="35"/>
      <c r="F29" s="35"/>
      <c r="G29" s="223" t="s">
        <v>250</v>
      </c>
      <c r="H29" s="35"/>
      <c r="I29" s="35"/>
    </row>
    <row r="30" spans="1:10" s="4" customFormat="1">
      <c r="B30" s="35"/>
      <c r="C30" s="55" t="s">
        <v>412</v>
      </c>
      <c r="D30" s="854">
        <f>'APC portfolio inputs'!E30</f>
        <v>0</v>
      </c>
      <c r="E30" s="992"/>
      <c r="F30" s="55" t="s">
        <v>413</v>
      </c>
      <c r="G30" s="222">
        <f>'APC portfolio inputs'!H30</f>
        <v>0</v>
      </c>
      <c r="H30" s="35"/>
      <c r="I30" s="35"/>
    </row>
    <row r="31" spans="1:10" s="4" customFormat="1">
      <c r="A31" s="57"/>
      <c r="B31" s="35"/>
      <c r="C31" s="34" t="s">
        <v>252</v>
      </c>
      <c r="D31" s="854">
        <f>'APC portfolio inputs'!E31</f>
        <v>0</v>
      </c>
      <c r="E31" s="992"/>
      <c r="F31" s="55" t="s">
        <v>251</v>
      </c>
      <c r="G31" s="222">
        <f ca="1">'APC portfolio inputs'!H31</f>
        <v>0</v>
      </c>
      <c r="H31" s="35"/>
      <c r="I31" s="35"/>
    </row>
    <row r="32" spans="1:10" s="4" customFormat="1">
      <c r="A32" s="57"/>
      <c r="B32" s="35"/>
      <c r="C32" s="34" t="s">
        <v>248</v>
      </c>
      <c r="D32" s="854">
        <f>'APC portfolio inputs'!E32</f>
        <v>0</v>
      </c>
      <c r="E32" s="992"/>
      <c r="F32" s="55" t="s">
        <v>254</v>
      </c>
      <c r="G32" s="222">
        <f>'APC portfolio inputs'!H32</f>
        <v>0</v>
      </c>
      <c r="H32" s="35"/>
      <c r="I32" s="35"/>
    </row>
    <row r="33" spans="1:9" s="4" customFormat="1">
      <c r="A33" s="57"/>
      <c r="B33" s="35"/>
      <c r="C33" s="34" t="s">
        <v>253</v>
      </c>
      <c r="D33" s="854">
        <f>'APC portfolio inputs'!E33</f>
        <v>0</v>
      </c>
      <c r="E33" s="992"/>
      <c r="F33" s="55" t="s">
        <v>255</v>
      </c>
      <c r="G33" s="222">
        <f>'APC portfolio inputs'!H33</f>
        <v>0</v>
      </c>
      <c r="H33" s="35"/>
      <c r="I33" s="35"/>
    </row>
    <row r="34" spans="1:9" s="4" customFormat="1">
      <c r="A34" s="57"/>
      <c r="B34" s="35"/>
      <c r="C34" s="34" t="s">
        <v>249</v>
      </c>
      <c r="D34" s="854">
        <f>'APC portfolio inputs'!E34</f>
        <v>0</v>
      </c>
      <c r="E34" s="992"/>
      <c r="F34" s="55" t="s">
        <v>256</v>
      </c>
      <c r="G34" s="222">
        <f>'APC portfolio inputs'!H34</f>
        <v>0</v>
      </c>
      <c r="H34" s="35"/>
      <c r="I34" s="35"/>
    </row>
    <row r="35" spans="1:9" s="4" customFormat="1">
      <c r="A35" s="57"/>
      <c r="B35" s="35"/>
      <c r="C35" s="34" t="s">
        <v>261</v>
      </c>
      <c r="D35" s="854">
        <f>'APC portfolio inputs'!E35</f>
        <v>0</v>
      </c>
      <c r="E35" s="992"/>
      <c r="G35" s="36"/>
      <c r="H35" s="35"/>
      <c r="I35" s="35"/>
    </row>
    <row r="36" spans="1:9" s="4" customFormat="1">
      <c r="A36" s="57"/>
      <c r="B36" s="35"/>
      <c r="C36" s="34" t="s">
        <v>79</v>
      </c>
      <c r="D36" s="991">
        <f>SUM(D30:D35)</f>
        <v>0</v>
      </c>
      <c r="E36" s="992"/>
      <c r="G36" s="36"/>
      <c r="H36" s="35"/>
      <c r="I36" s="35"/>
    </row>
    <row r="37" spans="1:9" s="4" customFormat="1">
      <c r="A37" s="57"/>
      <c r="B37" s="35"/>
      <c r="C37" s="39"/>
      <c r="D37" s="35"/>
      <c r="E37" s="35"/>
      <c r="F37" s="100"/>
      <c r="G37" s="35"/>
      <c r="H37" s="35"/>
      <c r="I37" s="35"/>
    </row>
    <row r="38" spans="1:9">
      <c r="A38" s="226"/>
      <c r="B38" s="226"/>
      <c r="C38" s="226" t="s">
        <v>311</v>
      </c>
      <c r="D38" s="226"/>
      <c r="E38" s="226"/>
      <c r="F38" s="226"/>
      <c r="G38" s="226"/>
      <c r="H38" s="226"/>
    </row>
    <row r="39" spans="1:9" s="4" customFormat="1">
      <c r="A39" s="261"/>
      <c r="B39" s="261"/>
      <c r="C39" s="261"/>
      <c r="D39" s="261"/>
      <c r="E39" s="261"/>
      <c r="F39" s="261"/>
      <c r="G39" s="261"/>
      <c r="H39" s="261"/>
    </row>
    <row r="40" spans="1:9">
      <c r="A40" s="4"/>
      <c r="B40" s="257"/>
      <c r="C40" s="37" t="s">
        <v>258</v>
      </c>
      <c r="D40" s="363">
        <v>200000</v>
      </c>
      <c r="E40" s="363">
        <v>150000</v>
      </c>
      <c r="F40" s="198"/>
    </row>
    <row r="41" spans="1:9" s="489" customFormat="1">
      <c r="A41" s="490"/>
      <c r="B41" s="257"/>
      <c r="C41" s="37" t="s">
        <v>548</v>
      </c>
      <c r="D41" s="364" t="b">
        <v>0</v>
      </c>
      <c r="E41" s="364" t="b">
        <v>0</v>
      </c>
      <c r="F41" s="198"/>
      <c r="I41" s="490"/>
    </row>
    <row r="42" spans="1:9" s="489" customFormat="1">
      <c r="A42" s="490"/>
      <c r="B42" s="257"/>
      <c r="C42" s="37" t="s">
        <v>549</v>
      </c>
      <c r="D42" s="909"/>
      <c r="E42" s="909"/>
      <c r="F42" s="198"/>
      <c r="I42" s="490"/>
    </row>
    <row r="43" spans="1:9" s="489" customFormat="1">
      <c r="A43" s="490"/>
      <c r="B43" s="257"/>
      <c r="C43" s="37" t="s">
        <v>232</v>
      </c>
      <c r="D43" s="804">
        <v>18.41</v>
      </c>
      <c r="E43" s="804">
        <v>18.41</v>
      </c>
      <c r="F43" s="198"/>
      <c r="I43" s="490"/>
    </row>
    <row r="44" spans="1:9" s="4" customFormat="1">
      <c r="A44" s="57"/>
      <c r="B44" s="257"/>
      <c r="C44" s="37" t="s">
        <v>879</v>
      </c>
      <c r="D44" s="363">
        <v>0</v>
      </c>
      <c r="E44" s="363">
        <v>0</v>
      </c>
      <c r="F44" s="93"/>
      <c r="G44" s="93"/>
    </row>
    <row r="45" spans="1:9">
      <c r="B45" s="257"/>
      <c r="C45" s="34" t="s">
        <v>100</v>
      </c>
      <c r="D45" s="31"/>
      <c r="E45" s="31"/>
      <c r="F45" s="93"/>
      <c r="G45" s="93"/>
    </row>
    <row r="46" spans="1:9">
      <c r="B46" s="257"/>
      <c r="C46" s="34" t="s">
        <v>156</v>
      </c>
      <c r="D46" s="365">
        <v>0.4</v>
      </c>
      <c r="E46" s="97"/>
      <c r="F46" s="92"/>
      <c r="G46" s="30"/>
    </row>
    <row r="47" spans="1:9">
      <c r="B47" s="257"/>
      <c r="C47" s="34" t="s">
        <v>157</v>
      </c>
      <c r="D47" s="365">
        <v>0.6</v>
      </c>
      <c r="E47" s="42"/>
      <c r="F47" s="92"/>
      <c r="G47" s="93"/>
    </row>
    <row r="48" spans="1:9">
      <c r="B48" s="257"/>
      <c r="C48" s="34"/>
      <c r="D48" s="34"/>
      <c r="E48" s="42"/>
      <c r="F48" s="199"/>
      <c r="G48" s="198"/>
    </row>
    <row r="49" spans="1:14">
      <c r="A49" s="226"/>
      <c r="B49" s="226"/>
      <c r="C49" s="226" t="s">
        <v>259</v>
      </c>
      <c r="D49" s="226"/>
      <c r="E49" s="226"/>
      <c r="F49" s="226"/>
      <c r="G49" s="226"/>
      <c r="H49" s="226"/>
    </row>
    <row r="50" spans="1:14">
      <c r="A50" s="4"/>
      <c r="B50" s="257"/>
      <c r="C50" s="4"/>
      <c r="J50" s="39"/>
      <c r="K50" s="988" t="str">
        <f>IF(OR(D55&gt;0,D79&gt;0,D67&gt;0),"Yes","No")</f>
        <v>No</v>
      </c>
      <c r="L50" s="988" t="str">
        <f>IF(OR(E55&gt;0,E79&gt;0,E67&gt;0),"Yes","No")</f>
        <v>No</v>
      </c>
      <c r="M50" s="252"/>
      <c r="N50" s="93"/>
    </row>
    <row r="51" spans="1:14">
      <c r="B51" s="257"/>
      <c r="J51" s="34" t="s">
        <v>133</v>
      </c>
      <c r="K51" s="989">
        <f>COUNTIF(AnnuityPmt11,"&gt;0")+COUNTIF(AnnuityPmt12,"&gt;0")+COUNTIF(AnnuityPmt13,"&gt;0")</f>
        <v>0</v>
      </c>
      <c r="L51" s="989">
        <f>COUNTIF(AnnuityPmt21,"&gt;0")+COUNTIF(AnnuityPmt22,"&gt;0")+COUNTIF(AnnuityPmt23,"&gt;0")</f>
        <v>0</v>
      </c>
      <c r="M51" s="252"/>
      <c r="N51" s="93"/>
    </row>
    <row r="52" spans="1:14" s="82" customFormat="1">
      <c r="A52" s="193"/>
      <c r="B52" s="270"/>
      <c r="C52" s="271" t="s">
        <v>220</v>
      </c>
      <c r="D52" s="354"/>
      <c r="F52" s="229"/>
      <c r="G52" s="228"/>
      <c r="I52" s="49"/>
    </row>
    <row r="53" spans="1:14" s="82" customFormat="1">
      <c r="A53" s="193"/>
      <c r="B53" s="270"/>
      <c r="C53" s="272" t="s">
        <v>401</v>
      </c>
      <c r="D53" s="323">
        <v>2</v>
      </c>
      <c r="E53" s="323">
        <v>2</v>
      </c>
      <c r="F53" s="228"/>
      <c r="G53" s="228"/>
      <c r="I53" s="49"/>
    </row>
    <row r="54" spans="1:14" s="82" customFormat="1">
      <c r="A54" s="193"/>
      <c r="B54" s="270"/>
      <c r="C54" s="84" t="s">
        <v>486</v>
      </c>
      <c r="D54" s="1245" t="str">
        <f>ChalLLiquidityOptionPerson1PortA</f>
        <v>Regular</v>
      </c>
      <c r="E54" s="1245" t="str">
        <f>ChalLLiquidityOptionPerson2PortA</f>
        <v>Regular</v>
      </c>
      <c r="F54" s="228"/>
      <c r="G54" s="228"/>
      <c r="I54" s="49"/>
    </row>
    <row r="55" spans="1:14" s="82" customFormat="1">
      <c r="A55" s="193"/>
      <c r="B55" s="270"/>
      <c r="C55" s="84" t="s">
        <v>267</v>
      </c>
      <c r="D55" s="908">
        <v>0</v>
      </c>
      <c r="E55" s="908">
        <v>0</v>
      </c>
      <c r="F55" s="228"/>
      <c r="G55" s="228"/>
      <c r="I55" s="49"/>
    </row>
    <row r="56" spans="1:14">
      <c r="B56" s="257"/>
      <c r="C56" s="34" t="s">
        <v>160</v>
      </c>
      <c r="D56" s="1245" t="str">
        <f>ChalLLFrequencyPerson1PortA</f>
        <v>Monthly</v>
      </c>
      <c r="E56" s="1245" t="str">
        <f>ChalLLFrequencyPerson2PortA</f>
        <v>Monthly</v>
      </c>
      <c r="F56" s="355"/>
      <c r="G56" s="104"/>
    </row>
    <row r="57" spans="1:14">
      <c r="B57" s="257"/>
      <c r="C57" s="34" t="s">
        <v>92</v>
      </c>
      <c r="D57" s="1245">
        <f>ChalLLIndexationPerson1PortA</f>
        <v>0</v>
      </c>
      <c r="E57" s="1245">
        <f>ChalLLIndexationPerson2PortA</f>
        <v>0</v>
      </c>
      <c r="F57" s="355"/>
      <c r="G57" s="93"/>
    </row>
    <row r="58" spans="1:14">
      <c r="B58" s="257"/>
      <c r="C58" s="34" t="s">
        <v>490</v>
      </c>
      <c r="D58" s="1245">
        <f>ChalLLWithdrawalPeriodPerson1PortA</f>
        <v>15</v>
      </c>
      <c r="E58" s="1245">
        <f>ChalLLWithdrawalPeriodPerson2PortA</f>
        <v>15</v>
      </c>
      <c r="F58" s="355"/>
      <c r="G58" s="104"/>
    </row>
    <row r="59" spans="1:14">
      <c r="B59" s="257"/>
      <c r="C59" s="34" t="s">
        <v>161</v>
      </c>
      <c r="D59" s="1245">
        <f ca="1">ChalLLWithdrawalGteePerson1PortA</f>
        <v>0.75</v>
      </c>
      <c r="E59" s="1245">
        <f ca="1">ChalLLWithdrawalGteePerson2PortA</f>
        <v>0.75</v>
      </c>
      <c r="F59" s="93"/>
      <c r="G59" s="93"/>
    </row>
    <row r="60" spans="1:14">
      <c r="B60" s="257"/>
      <c r="C60" s="34" t="s">
        <v>317</v>
      </c>
      <c r="D60" s="908">
        <v>0</v>
      </c>
      <c r="E60" s="908">
        <v>0</v>
      </c>
      <c r="F60" s="355"/>
      <c r="G60" s="93"/>
    </row>
    <row r="61" spans="1:14">
      <c r="B61" s="257"/>
      <c r="C61" s="34" t="s">
        <v>54</v>
      </c>
      <c r="D61" s="1245" t="str">
        <f>ChalLLReversionaryPerson1PortA</f>
        <v>No</v>
      </c>
      <c r="E61" s="1245" t="str">
        <f>ChalLLReversionaryPerson2PortA</f>
        <v>No</v>
      </c>
      <c r="F61" s="228"/>
      <c r="G61" s="104"/>
    </row>
    <row r="62" spans="1:14">
      <c r="B62" s="257"/>
      <c r="C62" s="34" t="s">
        <v>225</v>
      </c>
      <c r="D62" s="1245">
        <f>ChalLLUpfrontASFPerson1PortA</f>
        <v>2.1999999999999999E-2</v>
      </c>
      <c r="E62" s="1245">
        <f>ChalLLUpfrontASFPerson2PortA</f>
        <v>2.1999999999999999E-2</v>
      </c>
      <c r="F62" s="228"/>
      <c r="G62" s="104"/>
    </row>
    <row r="63" spans="1:14">
      <c r="B63" s="257"/>
      <c r="C63" s="34" t="s">
        <v>186</v>
      </c>
      <c r="D63" s="1246">
        <f>ChalLLOngoingASFPerson1PortA</f>
        <v>0</v>
      </c>
      <c r="E63" s="1246">
        <f>ChalLLOngoingASFPerson2PortA</f>
        <v>0</v>
      </c>
      <c r="F63" s="190"/>
      <c r="G63" s="190"/>
    </row>
    <row r="64" spans="1:14">
      <c r="B64" s="257"/>
      <c r="C64" s="34"/>
      <c r="D64" s="34"/>
      <c r="E64" s="34"/>
      <c r="F64" s="34"/>
      <c r="G64" s="93"/>
    </row>
    <row r="65" spans="1:9" s="82" customFormat="1">
      <c r="A65" s="193"/>
      <c r="B65" s="270"/>
      <c r="C65" s="271" t="s">
        <v>487</v>
      </c>
      <c r="D65" s="271"/>
      <c r="F65" s="229"/>
      <c r="G65" s="228"/>
      <c r="I65" s="49"/>
    </row>
    <row r="66" spans="1:9" s="82" customFormat="1">
      <c r="A66" s="193"/>
      <c r="B66" s="270"/>
      <c r="C66" s="272" t="s">
        <v>402</v>
      </c>
      <c r="D66" s="323">
        <v>3</v>
      </c>
      <c r="E66" s="323">
        <v>3</v>
      </c>
      <c r="F66" s="228"/>
      <c r="G66" s="228"/>
      <c r="I66" s="49"/>
    </row>
    <row r="67" spans="1:9" s="82" customFormat="1">
      <c r="A67" s="193"/>
      <c r="B67" s="270"/>
      <c r="C67" s="84" t="s">
        <v>267</v>
      </c>
      <c r="D67" s="1005">
        <v>0</v>
      </c>
      <c r="E67" s="1005">
        <v>0</v>
      </c>
      <c r="F67" s="228"/>
      <c r="G67" s="228"/>
      <c r="I67" s="49"/>
    </row>
    <row r="68" spans="1:9">
      <c r="B68" s="257"/>
      <c r="C68" s="34" t="s">
        <v>160</v>
      </c>
      <c r="D68" s="1006" t="s">
        <v>417</v>
      </c>
      <c r="E68" s="1006" t="s">
        <v>417</v>
      </c>
      <c r="F68" s="355"/>
      <c r="G68" s="198"/>
    </row>
    <row r="69" spans="1:9">
      <c r="B69" s="257"/>
      <c r="C69" s="34" t="s">
        <v>92</v>
      </c>
      <c r="D69" s="854">
        <v>0</v>
      </c>
      <c r="E69" s="854">
        <v>0</v>
      </c>
      <c r="F69" s="355"/>
      <c r="G69" s="198"/>
    </row>
    <row r="70" spans="1:9">
      <c r="B70" s="257"/>
      <c r="C70" s="34" t="s">
        <v>488</v>
      </c>
      <c r="D70" s="1009">
        <v>0</v>
      </c>
      <c r="E70" s="1009">
        <v>0</v>
      </c>
      <c r="F70" s="355"/>
      <c r="G70" s="198"/>
    </row>
    <row r="71" spans="1:9">
      <c r="B71" s="257"/>
      <c r="C71" s="34" t="s">
        <v>161</v>
      </c>
      <c r="D71" s="1010">
        <v>0</v>
      </c>
      <c r="E71" s="1010">
        <v>0</v>
      </c>
      <c r="F71" s="198"/>
      <c r="G71" s="198"/>
    </row>
    <row r="72" spans="1:9">
      <c r="B72" s="257"/>
      <c r="C72" s="34" t="s">
        <v>317</v>
      </c>
      <c r="D72" s="222">
        <v>0</v>
      </c>
      <c r="E72" s="222">
        <v>0</v>
      </c>
      <c r="F72" s="355"/>
      <c r="G72" s="198"/>
    </row>
    <row r="73" spans="1:9">
      <c r="B73" s="257"/>
      <c r="C73" s="34" t="s">
        <v>54</v>
      </c>
      <c r="D73" s="222" t="s">
        <v>18</v>
      </c>
      <c r="E73" s="222" t="s">
        <v>18</v>
      </c>
      <c r="F73" s="228"/>
      <c r="G73" s="198"/>
    </row>
    <row r="74" spans="1:9">
      <c r="B74" s="257"/>
      <c r="C74" s="34" t="s">
        <v>225</v>
      </c>
      <c r="D74" s="1007">
        <v>0</v>
      </c>
      <c r="E74" s="1007">
        <v>0</v>
      </c>
      <c r="F74" s="228"/>
      <c r="G74" s="198"/>
    </row>
    <row r="75" spans="1:9">
      <c r="B75" s="257"/>
      <c r="C75" s="34" t="s">
        <v>186</v>
      </c>
      <c r="D75" s="1001">
        <v>0</v>
      </c>
      <c r="E75" s="1001">
        <v>0</v>
      </c>
      <c r="F75" s="198"/>
      <c r="G75" s="198"/>
    </row>
    <row r="76" spans="1:9">
      <c r="B76" s="257"/>
      <c r="C76" s="34"/>
      <c r="D76" s="34"/>
      <c r="E76" s="34"/>
      <c r="F76" s="34"/>
      <c r="G76" s="198"/>
    </row>
    <row r="77" spans="1:9">
      <c r="B77" s="257"/>
      <c r="C77" s="17" t="s">
        <v>221</v>
      </c>
      <c r="D77" s="34"/>
      <c r="E77" s="34"/>
      <c r="F77" s="34"/>
      <c r="G77" s="190"/>
    </row>
    <row r="78" spans="1:9">
      <c r="B78" s="257"/>
      <c r="C78" s="272" t="s">
        <v>401</v>
      </c>
      <c r="D78" s="324">
        <v>1</v>
      </c>
      <c r="E78" s="324">
        <v>1</v>
      </c>
      <c r="F78" s="167"/>
      <c r="G78" s="167"/>
    </row>
    <row r="79" spans="1:9">
      <c r="B79" s="257"/>
      <c r="C79" s="34" t="s">
        <v>267</v>
      </c>
      <c r="D79" s="1005">
        <v>0</v>
      </c>
      <c r="E79" s="1005">
        <v>0</v>
      </c>
      <c r="F79" s="228"/>
      <c r="G79" s="104"/>
    </row>
    <row r="80" spans="1:9">
      <c r="B80" s="257"/>
      <c r="C80" s="34" t="s">
        <v>160</v>
      </c>
      <c r="D80" s="1006" t="s">
        <v>417</v>
      </c>
      <c r="E80" s="1006" t="s">
        <v>417</v>
      </c>
      <c r="F80" s="355"/>
      <c r="G80" s="104"/>
    </row>
    <row r="81" spans="1:14">
      <c r="B81" s="257"/>
      <c r="C81" s="34" t="s">
        <v>92</v>
      </c>
      <c r="D81" s="996">
        <v>0</v>
      </c>
      <c r="E81" s="996">
        <v>0</v>
      </c>
      <c r="F81" s="355"/>
      <c r="G81" s="104"/>
    </row>
    <row r="82" spans="1:14">
      <c r="B82" s="257"/>
      <c r="C82" s="34" t="s">
        <v>316</v>
      </c>
      <c r="D82" s="222">
        <v>0</v>
      </c>
      <c r="E82" s="222">
        <v>0</v>
      </c>
      <c r="F82" s="104"/>
      <c r="G82" s="104"/>
    </row>
    <row r="83" spans="1:14">
      <c r="B83" s="257"/>
      <c r="C83" s="34" t="s">
        <v>54</v>
      </c>
      <c r="D83" s="222" t="s">
        <v>18</v>
      </c>
      <c r="E83" s="222" t="s">
        <v>18</v>
      </c>
      <c r="F83" s="355"/>
      <c r="G83" s="104"/>
    </row>
    <row r="84" spans="1:14">
      <c r="B84" s="257"/>
      <c r="C84" s="34" t="s">
        <v>271</v>
      </c>
      <c r="D84" s="195">
        <v>0</v>
      </c>
      <c r="E84" s="195">
        <v>0</v>
      </c>
      <c r="F84" s="355"/>
      <c r="G84" s="190"/>
    </row>
    <row r="85" spans="1:14">
      <c r="B85" s="257"/>
      <c r="C85" s="34" t="s">
        <v>225</v>
      </c>
      <c r="D85" s="1007">
        <v>0.05</v>
      </c>
      <c r="E85" s="1007">
        <v>0</v>
      </c>
      <c r="F85" s="190"/>
      <c r="G85" s="190"/>
    </row>
    <row r="86" spans="1:14">
      <c r="B86" s="257"/>
      <c r="C86" s="34" t="s">
        <v>226</v>
      </c>
      <c r="D86" s="1008">
        <v>0</v>
      </c>
      <c r="E86" s="1008">
        <v>0</v>
      </c>
      <c r="F86" s="190"/>
      <c r="G86" s="190"/>
    </row>
    <row r="87" spans="1:14">
      <c r="B87" s="257"/>
      <c r="C87" s="194" t="s">
        <v>185</v>
      </c>
      <c r="D87" s="1001">
        <v>0</v>
      </c>
      <c r="E87" s="1001">
        <v>0</v>
      </c>
      <c r="F87" s="109"/>
      <c r="G87" s="104"/>
    </row>
    <row r="88" spans="1:14">
      <c r="B88" s="257"/>
      <c r="C88" s="194" t="s">
        <v>186</v>
      </c>
      <c r="D88" s="1001">
        <v>0</v>
      </c>
      <c r="E88" s="1001">
        <v>0</v>
      </c>
      <c r="M88" s="105"/>
      <c r="N88" s="104"/>
    </row>
    <row r="89" spans="1:14">
      <c r="B89" s="257"/>
      <c r="C89" s="34" t="s">
        <v>57</v>
      </c>
      <c r="D89" s="34"/>
      <c r="E89" s="34"/>
      <c r="F89" s="34"/>
      <c r="G89" s="93"/>
    </row>
    <row r="90" spans="1:14">
      <c r="A90" s="226"/>
      <c r="B90" s="226"/>
      <c r="C90" s="226" t="s">
        <v>260</v>
      </c>
      <c r="D90" s="226"/>
      <c r="E90" s="226"/>
      <c r="F90" s="226"/>
      <c r="G90" s="226"/>
      <c r="H90" s="226"/>
    </row>
    <row r="91" spans="1:14">
      <c r="A91" s="4"/>
      <c r="B91" s="257"/>
      <c r="C91" s="4"/>
      <c r="J91" s="34"/>
      <c r="K91" s="988" t="str">
        <f>IF(OR(D97&gt;0,D110&gt;0),"Yes","No")</f>
        <v>No</v>
      </c>
      <c r="L91" s="988" t="str">
        <f>IF(OR(E97&gt;0,E110&gt;0),"Yes","No")</f>
        <v>No</v>
      </c>
      <c r="M91" s="199"/>
      <c r="N91" s="93"/>
    </row>
    <row r="92" spans="1:14">
      <c r="B92" s="257"/>
      <c r="J92" s="34" t="s">
        <v>134</v>
      </c>
      <c r="K92" s="989">
        <f>COUNTIF(TermAnnuityPmt11,"&gt;0")+COUNTIF(TermAnnuityPmt12,"&gt;0")</f>
        <v>0</v>
      </c>
      <c r="L92" s="989">
        <f>COUNTIF(TermAnnuityPmt21,"&gt;0")+COUNTIF(TermAnnuityPmt22,"&gt;0")</f>
        <v>0</v>
      </c>
      <c r="M92" s="252"/>
      <c r="N92" s="93"/>
    </row>
    <row r="93" spans="1:14">
      <c r="B93" s="257"/>
      <c r="C93" s="34"/>
      <c r="D93" s="34"/>
      <c r="E93" s="34"/>
      <c r="F93" s="93"/>
      <c r="G93" s="93"/>
    </row>
    <row r="94" spans="1:14">
      <c r="B94" s="257"/>
      <c r="C94" s="17" t="s">
        <v>222</v>
      </c>
      <c r="D94" s="34"/>
      <c r="E94" s="34"/>
      <c r="F94" s="190"/>
      <c r="G94" s="190"/>
    </row>
    <row r="95" spans="1:14" hidden="1">
      <c r="B95" s="257"/>
      <c r="C95" s="48" t="s">
        <v>211</v>
      </c>
      <c r="D95" s="186" t="s">
        <v>18</v>
      </c>
      <c r="E95" s="186" t="s">
        <v>18</v>
      </c>
      <c r="F95" s="167"/>
      <c r="G95" s="167"/>
    </row>
    <row r="96" spans="1:14">
      <c r="B96" s="257"/>
      <c r="C96" s="34" t="s">
        <v>142</v>
      </c>
      <c r="D96" s="993">
        <v>0</v>
      </c>
      <c r="E96" s="993">
        <v>0</v>
      </c>
      <c r="F96" s="355"/>
      <c r="G96" s="104"/>
    </row>
    <row r="97" spans="1:10">
      <c r="B97" s="257"/>
      <c r="C97" s="34" t="s">
        <v>267</v>
      </c>
      <c r="D97" s="994">
        <v>0</v>
      </c>
      <c r="E97" s="994">
        <v>0</v>
      </c>
      <c r="F97" s="228"/>
      <c r="G97" s="104"/>
    </row>
    <row r="98" spans="1:10">
      <c r="B98" s="257"/>
      <c r="C98" s="34" t="s">
        <v>160</v>
      </c>
      <c r="D98" s="995" t="s">
        <v>417</v>
      </c>
      <c r="E98" s="995" t="s">
        <v>417</v>
      </c>
      <c r="F98" s="355"/>
      <c r="G98" s="104"/>
    </row>
    <row r="99" spans="1:10">
      <c r="B99" s="257"/>
      <c r="C99" s="34" t="s">
        <v>92</v>
      </c>
      <c r="D99" s="996">
        <v>0</v>
      </c>
      <c r="E99" s="996">
        <v>0</v>
      </c>
      <c r="F99" s="355"/>
      <c r="G99" s="104"/>
    </row>
    <row r="100" spans="1:10">
      <c r="A100" s="224"/>
      <c r="B100" s="256"/>
      <c r="C100" s="34" t="s">
        <v>317</v>
      </c>
      <c r="D100" s="995">
        <v>0</v>
      </c>
      <c r="E100" s="995">
        <v>0</v>
      </c>
      <c r="F100" s="105"/>
      <c r="G100" s="100"/>
      <c r="H100" s="86"/>
      <c r="I100" s="102"/>
      <c r="J100" s="86"/>
    </row>
    <row r="101" spans="1:10">
      <c r="B101" s="257"/>
      <c r="C101" s="34" t="s">
        <v>66</v>
      </c>
      <c r="D101" s="1002">
        <v>0</v>
      </c>
      <c r="E101" s="1002">
        <v>0</v>
      </c>
      <c r="F101" s="355"/>
      <c r="G101" s="104"/>
    </row>
    <row r="102" spans="1:10">
      <c r="B102" s="257"/>
      <c r="C102" s="34" t="s">
        <v>54</v>
      </c>
      <c r="D102" s="998" t="s">
        <v>18</v>
      </c>
      <c r="E102" s="998" t="s">
        <v>18</v>
      </c>
      <c r="F102" s="355"/>
      <c r="G102" s="104"/>
    </row>
    <row r="103" spans="1:10">
      <c r="B103" s="257"/>
      <c r="C103" s="34" t="s">
        <v>283</v>
      </c>
      <c r="D103" s="1003">
        <v>0</v>
      </c>
      <c r="E103" s="1003">
        <v>0</v>
      </c>
      <c r="F103" s="228"/>
      <c r="G103" s="104"/>
    </row>
    <row r="104" spans="1:10">
      <c r="B104" s="257"/>
      <c r="C104" s="34" t="s">
        <v>225</v>
      </c>
      <c r="D104" s="1000">
        <v>0</v>
      </c>
      <c r="E104" s="1000">
        <v>0</v>
      </c>
      <c r="F104" s="105"/>
      <c r="G104" s="104"/>
    </row>
    <row r="105" spans="1:10">
      <c r="B105" s="257"/>
      <c r="C105" s="34" t="s">
        <v>186</v>
      </c>
      <c r="D105" s="1004">
        <v>0</v>
      </c>
      <c r="E105" s="1004">
        <v>0</v>
      </c>
      <c r="F105" s="105"/>
      <c r="G105" s="104"/>
    </row>
    <row r="106" spans="1:10">
      <c r="B106" s="257"/>
      <c r="C106" s="34"/>
      <c r="D106" s="34"/>
      <c r="E106" s="34"/>
      <c r="F106" s="105"/>
      <c r="G106" s="104"/>
    </row>
    <row r="107" spans="1:10">
      <c r="B107" s="257"/>
      <c r="C107" s="17" t="s">
        <v>223</v>
      </c>
      <c r="D107" s="34"/>
      <c r="E107" s="34"/>
      <c r="F107" s="191"/>
      <c r="G107" s="190"/>
    </row>
    <row r="108" spans="1:10" hidden="1">
      <c r="B108" s="257"/>
      <c r="C108" s="48" t="s">
        <v>211</v>
      </c>
      <c r="D108" s="186" t="s">
        <v>17</v>
      </c>
      <c r="E108" s="186" t="s">
        <v>17</v>
      </c>
      <c r="F108" s="167"/>
      <c r="G108" s="167"/>
    </row>
    <row r="109" spans="1:10">
      <c r="B109" s="257"/>
      <c r="C109" s="34" t="s">
        <v>142</v>
      </c>
      <c r="D109" s="993">
        <v>0</v>
      </c>
      <c r="E109" s="993">
        <v>0</v>
      </c>
      <c r="F109" s="104"/>
      <c r="G109" s="104"/>
    </row>
    <row r="110" spans="1:10">
      <c r="B110" s="257"/>
      <c r="C110" s="34" t="s">
        <v>267</v>
      </c>
      <c r="D110" s="994">
        <v>0</v>
      </c>
      <c r="E110" s="994">
        <v>0</v>
      </c>
      <c r="F110" s="228"/>
      <c r="G110" s="104"/>
    </row>
    <row r="111" spans="1:10">
      <c r="B111" s="257"/>
      <c r="C111" s="34" t="s">
        <v>160</v>
      </c>
      <c r="D111" s="995" t="s">
        <v>417</v>
      </c>
      <c r="E111" s="995" t="s">
        <v>417</v>
      </c>
      <c r="F111" s="355"/>
      <c r="G111" s="104"/>
    </row>
    <row r="112" spans="1:10">
      <c r="B112" s="257"/>
      <c r="C112" s="34" t="s">
        <v>92</v>
      </c>
      <c r="D112" s="996">
        <v>0</v>
      </c>
      <c r="E112" s="996">
        <v>0</v>
      </c>
      <c r="F112" s="355"/>
      <c r="G112" s="104"/>
    </row>
    <row r="113" spans="1:9">
      <c r="B113" s="257"/>
      <c r="C113" s="34" t="s">
        <v>316</v>
      </c>
      <c r="D113" s="995">
        <v>0</v>
      </c>
      <c r="E113" s="995">
        <v>0</v>
      </c>
      <c r="F113" s="104"/>
      <c r="G113" s="104"/>
    </row>
    <row r="114" spans="1:9">
      <c r="B114" s="257"/>
      <c r="C114" s="34" t="s">
        <v>66</v>
      </c>
      <c r="D114" s="997">
        <v>0</v>
      </c>
      <c r="E114" s="997">
        <v>0</v>
      </c>
      <c r="F114" s="355"/>
      <c r="G114" s="104"/>
    </row>
    <row r="115" spans="1:9">
      <c r="B115" s="257"/>
      <c r="C115" s="34" t="s">
        <v>54</v>
      </c>
      <c r="D115" s="998" t="s">
        <v>18</v>
      </c>
      <c r="E115" s="998" t="s">
        <v>18</v>
      </c>
      <c r="F115" s="355"/>
      <c r="G115" s="104"/>
    </row>
    <row r="116" spans="1:9">
      <c r="B116" s="257"/>
      <c r="C116" s="34" t="s">
        <v>283</v>
      </c>
      <c r="D116" s="999">
        <v>0</v>
      </c>
      <c r="E116" s="999">
        <v>0</v>
      </c>
      <c r="F116" s="355"/>
      <c r="G116" s="104"/>
    </row>
    <row r="117" spans="1:9">
      <c r="B117" s="257"/>
      <c r="C117" s="34" t="s">
        <v>225</v>
      </c>
      <c r="D117" s="1000">
        <v>0</v>
      </c>
      <c r="E117" s="1000">
        <v>0</v>
      </c>
      <c r="F117" s="190"/>
      <c r="G117" s="190"/>
    </row>
    <row r="118" spans="1:9">
      <c r="B118" s="257"/>
      <c r="C118" s="34" t="s">
        <v>226</v>
      </c>
      <c r="D118" s="1000">
        <v>0</v>
      </c>
      <c r="E118" s="1000">
        <v>0</v>
      </c>
      <c r="F118" s="190"/>
      <c r="G118" s="190"/>
    </row>
    <row r="119" spans="1:9">
      <c r="B119" s="257"/>
      <c r="C119" s="194" t="s">
        <v>185</v>
      </c>
      <c r="D119" s="1001">
        <v>0</v>
      </c>
      <c r="E119" s="1001">
        <v>0</v>
      </c>
      <c r="F119" s="295"/>
      <c r="G119" s="104"/>
    </row>
    <row r="120" spans="1:9">
      <c r="B120" s="257"/>
      <c r="C120" s="194" t="s">
        <v>186</v>
      </c>
      <c r="D120" s="1001">
        <v>0</v>
      </c>
      <c r="E120" s="1001">
        <v>0</v>
      </c>
      <c r="F120" s="105"/>
      <c r="G120" s="104"/>
    </row>
    <row r="121" spans="1:9">
      <c r="C121" s="34"/>
      <c r="D121" s="13"/>
      <c r="E121" s="36"/>
      <c r="F121" s="93"/>
      <c r="G121" s="93"/>
    </row>
    <row r="122" spans="1:9" s="4" customFormat="1">
      <c r="A122" s="57"/>
      <c r="C122" s="37"/>
      <c r="D122" s="36"/>
      <c r="E122" s="36"/>
      <c r="F122" s="93"/>
      <c r="G122" s="93"/>
    </row>
    <row r="123" spans="1:9" s="267" customFormat="1" ht="21.75" customHeight="1">
      <c r="A123" s="264"/>
      <c r="B123" s="264" t="s">
        <v>97</v>
      </c>
      <c r="C123" s="265"/>
      <c r="D123" s="265"/>
      <c r="E123" s="265"/>
      <c r="F123" s="265"/>
      <c r="G123" s="265"/>
      <c r="H123" s="265"/>
      <c r="I123" s="266"/>
    </row>
    <row r="124" spans="1:9">
      <c r="A124" s="4"/>
      <c r="C124" s="4"/>
      <c r="D124" s="13"/>
      <c r="E124" s="13"/>
      <c r="G124" s="93"/>
    </row>
    <row r="125" spans="1:9">
      <c r="C125" s="33" t="s">
        <v>53</v>
      </c>
      <c r="D125" s="13" t="s">
        <v>52</v>
      </c>
      <c r="E125" s="13"/>
      <c r="F125" s="4"/>
      <c r="G125" s="93"/>
    </row>
    <row r="126" spans="1:9">
      <c r="B126" s="257"/>
      <c r="C126" s="32" t="s">
        <v>48</v>
      </c>
      <c r="D126" s="981">
        <f>PersonalAssetsPortA</f>
        <v>15000</v>
      </c>
      <c r="E126" s="36"/>
      <c r="F126" s="93"/>
      <c r="G126" s="93"/>
    </row>
    <row r="127" spans="1:9" ht="15.75" customHeight="1">
      <c r="B127" s="257"/>
      <c r="C127" s="84" t="s">
        <v>158</v>
      </c>
      <c r="D127" s="981">
        <f>OtherAssetsPortA</f>
        <v>0</v>
      </c>
      <c r="E127" s="97"/>
      <c r="F127" s="93"/>
      <c r="G127" s="93"/>
    </row>
    <row r="128" spans="1:9" ht="15.75" customHeight="1">
      <c r="B128" s="257"/>
      <c r="C128" s="84" t="s">
        <v>136</v>
      </c>
      <c r="D128" s="981">
        <f>InvestmentPropertyPortA</f>
        <v>0</v>
      </c>
      <c r="E128" s="106" t="s">
        <v>159</v>
      </c>
      <c r="F128" s="981">
        <f>RentIncomePortA</f>
        <v>0</v>
      </c>
      <c r="G128" s="93" t="s">
        <v>383</v>
      </c>
    </row>
    <row r="129" spans="1:10" ht="18" customHeight="1">
      <c r="B129" s="257"/>
      <c r="C129" s="84" t="s">
        <v>135</v>
      </c>
      <c r="D129" s="981">
        <f>FinancialInvestmentsDeemedPortA</f>
        <v>0</v>
      </c>
      <c r="E129" s="31"/>
      <c r="F129" s="310"/>
      <c r="G129" s="310"/>
      <c r="H129" s="310"/>
    </row>
    <row r="130" spans="1:10">
      <c r="C130" s="803" t="s">
        <v>901</v>
      </c>
      <c r="D130" s="1031">
        <v>500000</v>
      </c>
      <c r="F130" s="93"/>
      <c r="G130" s="93"/>
    </row>
    <row r="131" spans="1:10">
      <c r="C131" s="32"/>
      <c r="D131" s="93"/>
      <c r="E131" s="93"/>
    </row>
    <row r="132" spans="1:10" ht="24" customHeight="1">
      <c r="A132" s="78"/>
      <c r="B132" s="264" t="s">
        <v>98</v>
      </c>
      <c r="C132" s="260"/>
      <c r="D132" s="78"/>
      <c r="E132" s="78"/>
      <c r="F132" s="78"/>
      <c r="G132" s="78"/>
      <c r="H132" s="78"/>
      <c r="I132" s="35"/>
    </row>
    <row r="133" spans="1:10" s="4" customFormat="1">
      <c r="B133" s="35"/>
      <c r="C133" s="35"/>
      <c r="D133" s="35"/>
      <c r="E133" s="35"/>
      <c r="F133" s="35"/>
      <c r="G133" s="35"/>
      <c r="H133" s="35"/>
      <c r="I133" s="35"/>
    </row>
    <row r="134" spans="1:10">
      <c r="C134" s="229" t="s">
        <v>269</v>
      </c>
      <c r="D134" s="36"/>
      <c r="G134" s="93"/>
    </row>
    <row r="135" spans="1:10">
      <c r="B135" s="257"/>
      <c r="C135" s="34" t="s">
        <v>50</v>
      </c>
      <c r="D135" s="981">
        <f>EmployIncomePerson1PortA</f>
        <v>0</v>
      </c>
      <c r="E135" s="981">
        <f>EmployIncomePerson2PortA</f>
        <v>0</v>
      </c>
      <c r="F135" s="93" t="s">
        <v>68</v>
      </c>
      <c r="G135" s="93"/>
    </row>
    <row r="136" spans="1:10">
      <c r="B136" s="257"/>
      <c r="C136" s="34" t="s">
        <v>69</v>
      </c>
      <c r="D136" s="983">
        <f>EmployIncomeRemainingYrsPerson1PortA</f>
        <v>1</v>
      </c>
      <c r="E136" s="984">
        <f>EmployIncomeRemainingYrsPerson2PortA</f>
        <v>1</v>
      </c>
      <c r="F136" s="93" t="s">
        <v>51</v>
      </c>
      <c r="G136" s="93"/>
    </row>
    <row r="137" spans="1:10">
      <c r="B137" s="257"/>
      <c r="C137" s="34"/>
      <c r="D137" s="34"/>
      <c r="E137" s="34"/>
      <c r="F137" s="92"/>
      <c r="G137" s="93"/>
    </row>
    <row r="138" spans="1:10">
      <c r="B138" s="257"/>
      <c r="C138" s="34"/>
      <c r="D138" s="34"/>
      <c r="E138" s="34"/>
      <c r="G138" s="104"/>
    </row>
    <row r="139" spans="1:10" s="4" customFormat="1">
      <c r="A139" s="57"/>
      <c r="B139" s="257"/>
      <c r="C139" s="229" t="s">
        <v>230</v>
      </c>
      <c r="D139" s="34"/>
      <c r="E139" s="34"/>
      <c r="F139" s="105"/>
      <c r="G139" s="104"/>
      <c r="H139"/>
      <c r="J139"/>
    </row>
    <row r="140" spans="1:10">
      <c r="B140" s="257"/>
      <c r="C140" s="34" t="s">
        <v>50</v>
      </c>
      <c r="D140" s="981">
        <f>OtherIncomePerson1PortA</f>
        <v>0</v>
      </c>
      <c r="E140" s="981">
        <f>OtherIncomePerson2PortA</f>
        <v>0</v>
      </c>
      <c r="F140" s="105"/>
      <c r="G140" s="104"/>
    </row>
    <row r="141" spans="1:10" s="4" customFormat="1">
      <c r="A141" s="57"/>
      <c r="B141" s="257"/>
      <c r="C141" s="37"/>
      <c r="D141" s="36"/>
      <c r="E141" s="38"/>
      <c r="F141" s="93"/>
      <c r="G141" s="93"/>
    </row>
    <row r="142" spans="1:10" ht="24.75" customHeight="1">
      <c r="A142" s="78"/>
      <c r="B142" s="264" t="s">
        <v>101</v>
      </c>
      <c r="C142" s="78"/>
      <c r="D142" s="78"/>
      <c r="E142" s="78"/>
      <c r="F142" s="78"/>
      <c r="G142" s="78"/>
      <c r="H142" s="78"/>
      <c r="I142" s="35"/>
    </row>
    <row r="143" spans="1:10">
      <c r="A143" s="4"/>
      <c r="B143" s="257"/>
      <c r="C143" s="75"/>
      <c r="D143" s="36"/>
      <c r="E143" s="36"/>
      <c r="F143" s="93"/>
      <c r="G143" s="93"/>
    </row>
    <row r="144" spans="1:10">
      <c r="B144" s="257"/>
      <c r="C144" s="80" t="s">
        <v>107</v>
      </c>
      <c r="D144" s="56"/>
      <c r="E144" s="56"/>
      <c r="F144" s="56"/>
      <c r="G144" s="56"/>
      <c r="H144" s="56"/>
      <c r="I144" s="40"/>
      <c r="J144" s="57"/>
    </row>
    <row r="145" spans="1:13" ht="18" customHeight="1">
      <c r="B145" s="257"/>
      <c r="C145" s="85" t="s">
        <v>139</v>
      </c>
      <c r="D145" s="981">
        <f>ABPServiceFeePortA</f>
        <v>0</v>
      </c>
      <c r="E145" s="56" t="s">
        <v>168</v>
      </c>
      <c r="F145" s="56"/>
      <c r="G145" s="56"/>
      <c r="H145" s="56"/>
      <c r="I145" s="40"/>
      <c r="J145" s="57"/>
    </row>
    <row r="146" spans="1:13" ht="18" customHeight="1">
      <c r="B146" s="257"/>
      <c r="C146" s="85" t="s">
        <v>392</v>
      </c>
      <c r="D146" s="981" t="str">
        <f>ABPServiceFeeIndexPortA</f>
        <v>No</v>
      </c>
      <c r="E146" s="56"/>
      <c r="F146" s="56"/>
      <c r="G146" s="56"/>
      <c r="H146" s="56"/>
      <c r="I146" s="40"/>
      <c r="J146" s="57"/>
    </row>
    <row r="147" spans="1:13" s="4" customFormat="1">
      <c r="A147" s="57"/>
      <c r="B147" s="257"/>
      <c r="C147" s="58"/>
      <c r="D147" s="59"/>
      <c r="E147" s="56"/>
      <c r="F147" s="56"/>
      <c r="G147" s="56"/>
      <c r="H147" s="56"/>
      <c r="I147" s="40"/>
      <c r="J147" s="57"/>
      <c r="L147" t="s">
        <v>410</v>
      </c>
      <c r="M147" t="s">
        <v>411</v>
      </c>
    </row>
    <row r="148" spans="1:13">
      <c r="B148" s="257"/>
      <c r="C148" s="225" t="s">
        <v>140</v>
      </c>
      <c r="D148" s="321" t="s">
        <v>393</v>
      </c>
      <c r="E148" s="322" t="s">
        <v>394</v>
      </c>
      <c r="F148" s="325" t="s">
        <v>143</v>
      </c>
      <c r="G148" s="56"/>
      <c r="H148" s="56"/>
      <c r="I148" s="40"/>
      <c r="J148" s="57"/>
      <c r="L148" s="61">
        <f>ABPPlatformFee</f>
        <v>5.0000000000000001E-3</v>
      </c>
      <c r="M148" s="61">
        <f>ABPPlatformFee</f>
        <v>5.0000000000000001E-3</v>
      </c>
    </row>
    <row r="149" spans="1:13">
      <c r="B149" s="257"/>
      <c r="C149" s="60" t="s">
        <v>272</v>
      </c>
      <c r="D149" s="981" t="str">
        <f>LifetimeAnnuityPlatformFeePortA</f>
        <v>No</v>
      </c>
      <c r="E149" s="981" t="str">
        <f>TermAnnuityPlatformFeePortA</f>
        <v>No</v>
      </c>
      <c r="G149" s="399" t="s">
        <v>461</v>
      </c>
      <c r="H149" s="56"/>
      <c r="I149" s="40"/>
      <c r="J149" s="57"/>
    </row>
    <row r="150" spans="1:13">
      <c r="B150" s="257"/>
      <c r="C150" s="60" t="s">
        <v>162</v>
      </c>
      <c r="F150" s="985">
        <f>PlatformFeePercPortA</f>
        <v>5.0000000000000001E-3</v>
      </c>
      <c r="G150" s="56" t="s">
        <v>346</v>
      </c>
      <c r="H150" s="56"/>
      <c r="I150" s="40"/>
      <c r="J150" s="57"/>
    </row>
    <row r="151" spans="1:13">
      <c r="B151" s="257"/>
      <c r="C151" s="60" t="s">
        <v>273</v>
      </c>
      <c r="F151" s="985">
        <f>GrowthInvFeePortA</f>
        <v>8.0000000000000002E-3</v>
      </c>
      <c r="G151" s="56"/>
      <c r="H151" s="56"/>
      <c r="I151" s="40"/>
      <c r="J151" s="57"/>
    </row>
    <row r="152" spans="1:13">
      <c r="B152" s="257"/>
      <c r="C152" s="60" t="s">
        <v>274</v>
      </c>
      <c r="F152" s="985">
        <f>DefensiveInvFeePortA</f>
        <v>3.5000000000000001E-3</v>
      </c>
      <c r="G152" s="56"/>
      <c r="H152" s="56"/>
      <c r="I152" s="40"/>
      <c r="J152" s="57"/>
    </row>
    <row r="153" spans="1:13">
      <c r="B153" s="257"/>
      <c r="C153" s="32"/>
      <c r="D153" s="81"/>
    </row>
    <row r="154" spans="1:13">
      <c r="B154" s="257"/>
      <c r="C154" s="22" t="s">
        <v>137</v>
      </c>
      <c r="D154" s="81"/>
    </row>
    <row r="155" spans="1:13">
      <c r="B155" s="257"/>
      <c r="C155" s="225" t="s">
        <v>257</v>
      </c>
      <c r="D155" s="53"/>
      <c r="E155" s="53"/>
    </row>
    <row r="156" spans="1:13">
      <c r="B156" s="257"/>
      <c r="C156" s="84" t="s">
        <v>93</v>
      </c>
      <c r="D156" s="985">
        <f t="shared" ref="D156" si="0">FixedGrowthReturnPortA</f>
        <v>7.0000000000000007E-2</v>
      </c>
      <c r="E156" t="s">
        <v>384</v>
      </c>
      <c r="F156" s="377"/>
    </row>
    <row r="157" spans="1:13">
      <c r="B157" s="257"/>
      <c r="C157" s="84" t="s">
        <v>94</v>
      </c>
      <c r="D157" s="985">
        <f>FixedDefensiveReturnPortA</f>
        <v>0.04</v>
      </c>
      <c r="E157" t="s">
        <v>384</v>
      </c>
    </row>
    <row r="158" spans="1:13">
      <c r="B158" s="257"/>
      <c r="C158" s="84" t="s">
        <v>197</v>
      </c>
      <c r="D158" s="985">
        <f>PersonalAssetsReturnPortA</f>
        <v>-2.5000000000000001E-2</v>
      </c>
      <c r="E158" s="88"/>
    </row>
    <row r="159" spans="1:13">
      <c r="B159" s="257"/>
      <c r="C159" s="84" t="s">
        <v>136</v>
      </c>
      <c r="D159" s="985">
        <f>InvestPropertyGrowthPortA</f>
        <v>2.5000000000000001E-2</v>
      </c>
      <c r="E159" s="193" t="s">
        <v>385</v>
      </c>
    </row>
    <row r="160" spans="1:13">
      <c r="B160" s="257"/>
      <c r="C160" s="84" t="s">
        <v>163</v>
      </c>
      <c r="D160" s="985">
        <f>OtherAssetsReturnPortA</f>
        <v>2.5000000000000001E-2</v>
      </c>
      <c r="E160" s="12" t="s">
        <v>385</v>
      </c>
    </row>
    <row r="161" spans="1:21">
      <c r="B161" s="257"/>
      <c r="C161" s="84" t="s">
        <v>164</v>
      </c>
      <c r="D161" s="985">
        <f>FinancialInvestmentsReturnsPortA</f>
        <v>2.5000000000000001E-2</v>
      </c>
      <c r="E161" t="s">
        <v>385</v>
      </c>
      <c r="F161" s="12"/>
    </row>
    <row r="162" spans="1:21">
      <c r="B162" s="257"/>
      <c r="C162" s="84" t="s">
        <v>138</v>
      </c>
      <c r="D162" s="985">
        <f>FixedCPIPortA</f>
        <v>2.5000000000000001E-2</v>
      </c>
    </row>
    <row r="163" spans="1:21">
      <c r="C163" s="84" t="s">
        <v>153</v>
      </c>
      <c r="D163" s="985">
        <f>FixedAWOTEPortA</f>
        <v>2.5000000000000001E-2</v>
      </c>
      <c r="E163" s="98"/>
      <c r="J163" s="57"/>
    </row>
    <row r="164" spans="1:21">
      <c r="C164" s="803" t="s">
        <v>901</v>
      </c>
      <c r="D164" s="985">
        <f>TermDepositCashReturnPortA</f>
        <v>0.03</v>
      </c>
      <c r="E164" s="98"/>
      <c r="J164" s="57"/>
    </row>
    <row r="165" spans="1:21">
      <c r="C165" s="84" t="s">
        <v>165</v>
      </c>
      <c r="D165" s="985">
        <f>RentalIncomeGrowthPortA</f>
        <v>2.5000000000000001E-2</v>
      </c>
      <c r="E165" s="98"/>
      <c r="J165" s="57"/>
    </row>
    <row r="166" spans="1:21">
      <c r="C166" s="84" t="s">
        <v>166</v>
      </c>
      <c r="D166" s="985">
        <f>OtherIncomeGrowthPortA</f>
        <v>2.5000000000000001E-2</v>
      </c>
      <c r="E166" s="98"/>
      <c r="J166" s="57"/>
    </row>
    <row r="167" spans="1:21">
      <c r="C167" s="84" t="s">
        <v>167</v>
      </c>
      <c r="D167" s="985">
        <f>EmploymentIncomeGrowthPortA</f>
        <v>2.5000000000000001E-2</v>
      </c>
      <c r="E167" s="98"/>
      <c r="J167" s="57"/>
    </row>
    <row r="168" spans="1:21" s="57" customFormat="1">
      <c r="B168" s="4"/>
      <c r="C168"/>
      <c r="D168" s="12"/>
      <c r="E168"/>
      <c r="F168"/>
      <c r="G168"/>
      <c r="H168"/>
      <c r="I168" s="4"/>
      <c r="Q168"/>
      <c r="R168"/>
      <c r="S168"/>
      <c r="T168"/>
      <c r="U168"/>
    </row>
    <row r="169" spans="1:21">
      <c r="A169" s="79"/>
      <c r="B169" s="79"/>
      <c r="C169" s="79"/>
      <c r="D169" s="79"/>
      <c r="E169" s="79"/>
      <c r="F169" s="79"/>
      <c r="G169" s="79"/>
      <c r="H169" s="79"/>
    </row>
    <row r="170" spans="1:21">
      <c r="A170" s="4"/>
      <c r="C170" s="4"/>
      <c r="J170" s="22"/>
    </row>
    <row r="171" spans="1:21">
      <c r="D171" s="86"/>
      <c r="J171" s="39"/>
    </row>
    <row r="172" spans="1:21">
      <c r="D172" s="86"/>
      <c r="J172" s="39"/>
    </row>
    <row r="173" spans="1:21">
      <c r="D173" s="86"/>
    </row>
  </sheetData>
  <dataConsolidate link="1"/>
  <dataValidations count="9">
    <dataValidation type="list" showInputMessage="1" showErrorMessage="1" sqref="G16:G18 F16:F17 F121:G122">
      <formula1>"M,F"</formula1>
    </dataValidation>
    <dataValidation type="date" showInputMessage="1" showErrorMessage="1" sqref="D14:D15 E15">
      <formula1>1</formula1>
      <formula2>41640</formula2>
    </dataValidation>
    <dataValidation showInputMessage="1" showErrorMessage="1" sqref="E18:E19 F18 D10:E10 F26:I26 E124:E128 F135:F137 F143:I143 D40:E44 G134:I141 D124:D129 I23:I25 E23:E25 F25 G24 M88:O88 G52:I52 D131 F37 E46:E48 F139:F141 H50:I51 F49:I49 D46:D47 I88 G89:I90 I91:I92 M91:O92 M50:N51 F20 G64:I65 D121 G19:I20 F93:I120 D16:E17 F53:I63 F78:F87 G76:I87 F66:I75 D90:F90"/>
    <dataValidation type="date" showInputMessage="1" showErrorMessage="1" sqref="E129 D130 D45:E45">
      <formula1>1</formula1>
      <formula2>#REF!</formula2>
    </dataValidation>
    <dataValidation type="list" allowBlank="1" showInputMessage="1" showErrorMessage="1" sqref="D108:E108">
      <formula1>"Yes"</formula1>
    </dataValidation>
    <dataValidation type="list" allowBlank="1" showInputMessage="1" showErrorMessage="1" sqref="D95:E95">
      <formula1>"No"</formula1>
    </dataValidation>
    <dataValidation type="custom" allowBlank="1" showInputMessage="1" showErrorMessage="1" sqref="L91">
      <formula1>IF(OR(E96&gt;0,E110&gt;0),"Yes","No")</formula1>
    </dataValidation>
    <dataValidation type="decimal" operator="greaterThan" allowBlank="1" showInputMessage="1" showErrorMessage="1" sqref="D23">
      <formula1>0</formula1>
    </dataValidation>
    <dataValidation type="custom" allowBlank="1" showInputMessage="1" showErrorMessage="1" sqref="L50">
      <formula1>IF(OR(E55&gt;0,E79&gt;0),"Yes","No")</formula1>
    </dataValidation>
  </dataValidations>
  <pageMargins left="0.75" right="0.75" top="1" bottom="1" header="0.5" footer="0.5"/>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LoadRICInputSheetMacro">
                <anchor moveWithCells="1" sizeWithCells="1">
                  <from>
                    <xdr:col>4</xdr:col>
                    <xdr:colOff>561975</xdr:colOff>
                    <xdr:row>1</xdr:row>
                    <xdr:rowOff>76200</xdr:rowOff>
                  </from>
                  <to>
                    <xdr:col>4</xdr:col>
                    <xdr:colOff>1409700</xdr:colOff>
                    <xdr:row>2</xdr:row>
                    <xdr:rowOff>38100</xdr:rowOff>
                  </to>
                </anchor>
              </controlPr>
            </control>
          </mc:Choice>
        </mc:AlternateContent>
        <mc:AlternateContent xmlns:mc="http://schemas.openxmlformats.org/markup-compatibility/2006">
          <mc:Choice Requires="x14">
            <control shapeId="50180" r:id="rId5" name="Button 4">
              <controlPr defaultSize="0" print="0" autoFill="0" autoPict="0" macro="[0]!SaveRICInputSheetMacro">
                <anchor moveWithCells="1" sizeWithCells="1">
                  <from>
                    <xdr:col>3</xdr:col>
                    <xdr:colOff>1581150</xdr:colOff>
                    <xdr:row>1</xdr:row>
                    <xdr:rowOff>76200</xdr:rowOff>
                  </from>
                  <to>
                    <xdr:col>4</xdr:col>
                    <xdr:colOff>428625</xdr:colOff>
                    <xdr:row>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173"/>
  <sheetViews>
    <sheetView workbookViewId="0">
      <pane ySplit="3" topLeftCell="A4" activePane="bottomLeft" state="frozen"/>
      <selection pane="bottomLeft" activeCell="F16" sqref="F16"/>
    </sheetView>
    <sheetView workbookViewId="1">
      <selection activeCell="H59" sqref="H59"/>
    </sheetView>
  </sheetViews>
  <sheetFormatPr defaultRowHeight="15.75"/>
  <cols>
    <col min="1" max="2" width="9" style="57"/>
    <col min="3" max="3" width="31.25" style="57" customWidth="1"/>
    <col min="4" max="4" width="9" style="57"/>
    <col min="5" max="5" width="24.5" style="57" bestFit="1" customWidth="1"/>
    <col min="6" max="6" width="17.5" style="57" customWidth="1"/>
    <col min="7" max="7" width="20.125" style="57" customWidth="1"/>
    <col min="8" max="8" width="13.375" style="57" customWidth="1"/>
    <col min="9" max="9" width="14.375" style="57" customWidth="1"/>
    <col min="10" max="10" width="3.75" style="57" customWidth="1"/>
    <col min="11" max="11" width="1.875" style="57" customWidth="1"/>
    <col min="12" max="12" width="4.75" style="57" customWidth="1"/>
    <col min="13" max="13" width="9" style="57"/>
    <col min="14" max="14" width="31.25" style="57" customWidth="1"/>
    <col min="15" max="15" width="9" style="57"/>
    <col min="16" max="16" width="24.5" style="57" bestFit="1" customWidth="1"/>
    <col min="17" max="17" width="17.5" style="57" customWidth="1"/>
    <col min="18" max="18" width="19.25" style="57" customWidth="1"/>
    <col min="19" max="19" width="13.375" style="57" customWidth="1"/>
    <col min="20" max="20" width="15.375" style="57" customWidth="1"/>
    <col min="21" max="21" width="9" style="682"/>
    <col min="22" max="22" width="37.625" style="682" customWidth="1"/>
    <col min="23" max="23" width="21.5" style="682" customWidth="1"/>
    <col min="24" max="46" width="9" style="682"/>
    <col min="47" max="16384" width="9" style="57"/>
  </cols>
  <sheetData>
    <row r="1" spans="1:46">
      <c r="C1" s="505" t="s">
        <v>943</v>
      </c>
      <c r="K1" s="79"/>
      <c r="N1" s="505" t="s">
        <v>944</v>
      </c>
      <c r="V1" s="979" t="s">
        <v>1161</v>
      </c>
    </row>
    <row r="2" spans="1:46">
      <c r="K2" s="79"/>
      <c r="V2" s="3" t="s">
        <v>1159</v>
      </c>
    </row>
    <row r="3" spans="1:46" s="781" customFormat="1" ht="21">
      <c r="C3" s="782" t="s">
        <v>899</v>
      </c>
      <c r="K3" s="783"/>
      <c r="N3" s="782" t="s">
        <v>900</v>
      </c>
      <c r="U3" s="977"/>
      <c r="V3" s="986" t="s">
        <v>1160</v>
      </c>
      <c r="W3" s="977"/>
      <c r="X3" s="977"/>
      <c r="Y3" s="977"/>
      <c r="Z3" s="977"/>
      <c r="AA3" s="977"/>
      <c r="AB3" s="977"/>
      <c r="AC3" s="977"/>
      <c r="AD3" s="977"/>
      <c r="AE3" s="977"/>
      <c r="AF3" s="977"/>
      <c r="AG3" s="977"/>
      <c r="AH3" s="977"/>
      <c r="AI3" s="977"/>
      <c r="AJ3" s="977"/>
      <c r="AK3" s="977"/>
      <c r="AL3" s="977"/>
      <c r="AM3" s="977"/>
      <c r="AN3" s="977"/>
      <c r="AO3" s="977"/>
      <c r="AP3" s="977"/>
      <c r="AQ3" s="977"/>
      <c r="AR3" s="977"/>
      <c r="AS3" s="977"/>
      <c r="AT3" s="977"/>
    </row>
    <row r="4" spans="1:46">
      <c r="K4" s="79"/>
    </row>
    <row r="5" spans="1:46">
      <c r="K5" s="79"/>
    </row>
    <row r="6" spans="1:46">
      <c r="K6" s="79"/>
    </row>
    <row r="7" spans="1:46" s="489" customFormat="1" ht="11.25" customHeight="1">
      <c r="A7" s="57"/>
      <c r="B7" s="77"/>
      <c r="C7" s="77"/>
      <c r="D7" s="77"/>
      <c r="E7" s="77"/>
      <c r="F7" s="77"/>
      <c r="G7" s="77"/>
      <c r="H7" s="77"/>
      <c r="I7" s="77"/>
      <c r="J7" s="794"/>
      <c r="K7" s="784"/>
      <c r="L7" s="794"/>
      <c r="M7" s="773"/>
      <c r="N7" s="773"/>
      <c r="O7" s="773"/>
      <c r="P7" s="773"/>
      <c r="Q7" s="773"/>
      <c r="R7" s="773"/>
      <c r="S7" s="773"/>
      <c r="T7" s="773"/>
      <c r="U7" s="682"/>
      <c r="V7" s="1012" t="s">
        <v>1098</v>
      </c>
      <c r="W7" s="682"/>
      <c r="X7" s="682"/>
      <c r="Y7" s="14" t="s">
        <v>1151</v>
      </c>
      <c r="Z7" s="682"/>
      <c r="AA7" s="682"/>
      <c r="AB7" s="682"/>
      <c r="AC7" s="682"/>
      <c r="AD7" s="682"/>
      <c r="AE7" s="682"/>
      <c r="AF7" s="682"/>
      <c r="AG7" s="682"/>
      <c r="AH7" s="682"/>
      <c r="AI7" s="682"/>
      <c r="AJ7" s="682"/>
      <c r="AK7" s="682"/>
      <c r="AL7" s="682"/>
      <c r="AM7" s="682"/>
      <c r="AN7" s="682"/>
      <c r="AO7" s="682"/>
      <c r="AP7" s="682"/>
      <c r="AQ7" s="682"/>
      <c r="AR7" s="682"/>
      <c r="AS7" s="682"/>
      <c r="AT7" s="682"/>
    </row>
    <row r="8" spans="1:46" s="489" customFormat="1" ht="16.5" customHeight="1">
      <c r="A8" s="57"/>
      <c r="B8" s="78"/>
      <c r="C8" s="264" t="s">
        <v>96</v>
      </c>
      <c r="D8" s="78"/>
      <c r="E8" s="78"/>
      <c r="F8" s="78"/>
      <c r="G8" s="78"/>
      <c r="H8" s="78"/>
      <c r="I8" s="78"/>
      <c r="J8" s="795"/>
      <c r="K8" s="785"/>
      <c r="L8" s="795"/>
      <c r="M8" s="774"/>
      <c r="N8" s="775" t="s">
        <v>96</v>
      </c>
      <c r="O8" s="774"/>
      <c r="P8" s="774"/>
      <c r="Q8" s="774"/>
      <c r="R8" s="774"/>
      <c r="S8" s="774"/>
      <c r="T8" s="774"/>
      <c r="U8" s="682"/>
      <c r="V8" s="682" t="s">
        <v>948</v>
      </c>
      <c r="W8" s="682"/>
      <c r="X8" s="682"/>
      <c r="Y8" s="682" t="s">
        <v>958</v>
      </c>
      <c r="Z8" s="682"/>
      <c r="AA8" s="682"/>
      <c r="AB8" s="682"/>
      <c r="AC8" s="682"/>
      <c r="AD8" s="682"/>
      <c r="AE8" s="682"/>
      <c r="AF8" s="682"/>
      <c r="AG8" s="682"/>
      <c r="AH8" s="682"/>
      <c r="AI8" s="682"/>
      <c r="AJ8" s="682"/>
      <c r="AK8" s="682"/>
      <c r="AL8" s="682"/>
      <c r="AM8" s="682"/>
      <c r="AN8" s="682"/>
      <c r="AO8" s="682"/>
      <c r="AP8" s="682"/>
      <c r="AQ8" s="682"/>
      <c r="AR8" s="682"/>
      <c r="AS8" s="682"/>
      <c r="AT8" s="682"/>
    </row>
    <row r="9" spans="1:46" s="489" customFormat="1" ht="22.5" customHeight="1">
      <c r="A9" s="57"/>
      <c r="B9" s="682"/>
      <c r="C9" s="682"/>
      <c r="D9" s="682"/>
      <c r="H9" s="489" t="s">
        <v>57</v>
      </c>
      <c r="J9" s="57"/>
      <c r="K9" s="79"/>
      <c r="L9" s="57"/>
      <c r="M9" s="682"/>
      <c r="N9" s="682"/>
      <c r="O9" s="682"/>
      <c r="S9" s="489" t="s">
        <v>57</v>
      </c>
      <c r="U9" s="682"/>
      <c r="V9" s="49" t="s">
        <v>949</v>
      </c>
      <c r="W9" s="682"/>
      <c r="X9" s="682"/>
      <c r="Y9" s="682" t="s">
        <v>959</v>
      </c>
      <c r="Z9" s="682"/>
      <c r="AA9" s="682"/>
      <c r="AB9" s="682"/>
      <c r="AC9" s="682"/>
      <c r="AD9" s="682"/>
      <c r="AE9" s="682"/>
      <c r="AF9" s="682"/>
      <c r="AG9" s="682"/>
      <c r="AH9" s="682"/>
      <c r="AI9" s="682"/>
      <c r="AJ9" s="682"/>
      <c r="AK9" s="682"/>
      <c r="AL9" s="682"/>
      <c r="AM9" s="682"/>
      <c r="AN9" s="682"/>
      <c r="AO9" s="682"/>
      <c r="AP9" s="682"/>
      <c r="AQ9" s="682"/>
      <c r="AR9" s="682"/>
      <c r="AS9" s="682"/>
      <c r="AT9" s="682"/>
    </row>
    <row r="10" spans="1:46" s="86" customFormat="1">
      <c r="A10" s="224"/>
      <c r="B10" s="102"/>
      <c r="C10" s="256"/>
      <c r="D10" s="34" t="s">
        <v>154</v>
      </c>
      <c r="E10" s="1022">
        <f ca="1">TODAY()</f>
        <v>42696</v>
      </c>
      <c r="F10" s="94"/>
      <c r="G10" s="102"/>
      <c r="H10" s="102"/>
      <c r="J10" s="224"/>
      <c r="K10" s="786"/>
      <c r="L10" s="224"/>
      <c r="M10" s="102"/>
      <c r="N10" s="256"/>
      <c r="O10" s="34" t="s">
        <v>154</v>
      </c>
      <c r="P10" s="1022">
        <f ca="1">E10</f>
        <v>42696</v>
      </c>
      <c r="Q10" s="94"/>
      <c r="R10" s="102"/>
      <c r="S10" s="102"/>
      <c r="U10" s="102"/>
      <c r="V10" s="682" t="s">
        <v>950</v>
      </c>
      <c r="W10" s="102"/>
      <c r="X10" s="102"/>
      <c r="Y10" s="682" t="s">
        <v>960</v>
      </c>
      <c r="Z10" s="682"/>
      <c r="AA10" s="102"/>
      <c r="AB10" s="102"/>
      <c r="AC10" s="102"/>
      <c r="AD10" s="102"/>
      <c r="AE10" s="102"/>
      <c r="AF10" s="102"/>
      <c r="AG10" s="102"/>
      <c r="AH10" s="102"/>
      <c r="AI10" s="102"/>
      <c r="AJ10" s="102"/>
      <c r="AK10" s="102"/>
      <c r="AL10" s="102"/>
      <c r="AM10" s="102"/>
      <c r="AN10" s="102"/>
      <c r="AO10" s="102"/>
      <c r="AP10" s="102"/>
      <c r="AQ10" s="102"/>
      <c r="AR10" s="102"/>
      <c r="AS10" s="102"/>
      <c r="AT10" s="102"/>
    </row>
    <row r="11" spans="1:46" s="489" customFormat="1">
      <c r="A11" s="57"/>
      <c r="B11" s="682"/>
      <c r="C11" s="257"/>
      <c r="D11" s="242"/>
      <c r="G11" s="682"/>
      <c r="H11" s="682"/>
      <c r="J11" s="57"/>
      <c r="K11" s="79"/>
      <c r="L11" s="57"/>
      <c r="M11" s="682"/>
      <c r="N11" s="257"/>
      <c r="O11" s="242"/>
      <c r="R11" s="682"/>
      <c r="S11" s="682"/>
      <c r="U11" s="682"/>
      <c r="V11" s="682" t="s">
        <v>951</v>
      </c>
      <c r="W11" s="682"/>
      <c r="X11" s="682"/>
      <c r="Y11" s="682" t="s">
        <v>961</v>
      </c>
      <c r="Z11" s="682"/>
      <c r="AA11" s="682"/>
      <c r="AB11" s="682"/>
      <c r="AC11" s="682"/>
      <c r="AD11" s="682"/>
      <c r="AE11" s="682"/>
      <c r="AF11" s="682"/>
      <c r="AG11" s="682"/>
      <c r="AH11" s="682"/>
      <c r="AI11" s="682"/>
      <c r="AJ11" s="682"/>
      <c r="AK11" s="682"/>
      <c r="AL11" s="682"/>
      <c r="AM11" s="682"/>
      <c r="AN11" s="682"/>
      <c r="AO11" s="682"/>
      <c r="AP11" s="682"/>
      <c r="AQ11" s="682"/>
      <c r="AR11" s="682"/>
      <c r="AS11" s="682"/>
      <c r="AT11" s="682"/>
    </row>
    <row r="12" spans="1:46" s="489" customFormat="1">
      <c r="A12" s="57"/>
      <c r="B12" s="682"/>
      <c r="C12" s="257"/>
      <c r="D12" s="242"/>
      <c r="E12" s="1" t="s">
        <v>22</v>
      </c>
      <c r="F12" s="1" t="s">
        <v>23</v>
      </c>
      <c r="G12" s="682"/>
      <c r="H12" s="682"/>
      <c r="J12" s="57"/>
      <c r="K12" s="79"/>
      <c r="L12" s="57"/>
      <c r="M12" s="682"/>
      <c r="N12" s="257"/>
      <c r="O12" s="242"/>
      <c r="P12" s="1" t="s">
        <v>22</v>
      </c>
      <c r="Q12" s="1" t="s">
        <v>23</v>
      </c>
      <c r="R12" s="682"/>
      <c r="S12" s="682"/>
      <c r="U12" s="682"/>
      <c r="V12" s="49" t="s">
        <v>952</v>
      </c>
      <c r="W12" s="682"/>
      <c r="X12" s="682"/>
      <c r="Y12" s="682" t="s">
        <v>962</v>
      </c>
      <c r="Z12" s="682"/>
      <c r="AA12" s="682"/>
      <c r="AB12" s="682"/>
      <c r="AC12" s="682"/>
      <c r="AD12" s="682"/>
      <c r="AE12" s="682"/>
      <c r="AF12" s="682"/>
      <c r="AG12" s="682"/>
      <c r="AH12" s="682"/>
      <c r="AI12" s="682"/>
      <c r="AJ12" s="682"/>
      <c r="AK12" s="682"/>
      <c r="AL12" s="682"/>
      <c r="AM12" s="682"/>
      <c r="AN12" s="682"/>
      <c r="AO12" s="682"/>
      <c r="AP12" s="682"/>
      <c r="AQ12" s="682"/>
      <c r="AR12" s="682"/>
      <c r="AS12" s="682"/>
      <c r="AT12" s="682"/>
    </row>
    <row r="13" spans="1:46" s="489" customFormat="1">
      <c r="A13" s="57"/>
      <c r="B13" s="682"/>
      <c r="C13" s="257"/>
      <c r="D13" s="242"/>
      <c r="E13" s="407"/>
      <c r="F13" s="407"/>
      <c r="G13" s="682"/>
      <c r="H13" s="682"/>
      <c r="J13" s="57"/>
      <c r="K13" s="79"/>
      <c r="L13" s="57"/>
      <c r="M13" s="682"/>
      <c r="N13" s="257"/>
      <c r="O13" s="242"/>
      <c r="P13" s="407"/>
      <c r="Q13" s="407"/>
      <c r="R13" s="682"/>
      <c r="S13" s="682"/>
      <c r="U13" s="682"/>
      <c r="V13" s="682" t="s">
        <v>953</v>
      </c>
      <c r="W13" s="682"/>
      <c r="X13" s="682"/>
      <c r="Y13" s="682" t="s">
        <v>963</v>
      </c>
      <c r="Z13" s="682"/>
      <c r="AA13" s="682"/>
      <c r="AB13" s="682"/>
      <c r="AC13" s="682"/>
      <c r="AD13" s="682"/>
      <c r="AE13" s="682"/>
      <c r="AF13" s="682"/>
      <c r="AG13" s="682"/>
      <c r="AH13" s="682"/>
      <c r="AI13" s="682"/>
      <c r="AJ13" s="682"/>
      <c r="AK13" s="682"/>
      <c r="AL13" s="682"/>
      <c r="AM13" s="682"/>
      <c r="AN13" s="682"/>
      <c r="AO13" s="682"/>
      <c r="AP13" s="682"/>
      <c r="AQ13" s="682"/>
      <c r="AR13" s="682"/>
      <c r="AS13" s="682"/>
      <c r="AT13" s="682"/>
    </row>
    <row r="14" spans="1:46" s="489" customFormat="1">
      <c r="A14" s="57"/>
      <c r="B14" s="682"/>
      <c r="C14" s="257"/>
      <c r="D14" s="242" t="s">
        <v>16</v>
      </c>
      <c r="E14" s="980">
        <f ca="1">'Admin Settings'!P5</f>
        <v>18264</v>
      </c>
      <c r="F14" s="980">
        <f ca="1">'Admin Settings'!P6</f>
        <v>18264</v>
      </c>
      <c r="G14" s="682"/>
      <c r="H14" s="682"/>
      <c r="J14" s="57"/>
      <c r="K14" s="79"/>
      <c r="L14" s="57"/>
      <c r="M14" s="682"/>
      <c r="N14" s="257"/>
      <c r="O14" s="242" t="s">
        <v>16</v>
      </c>
      <c r="P14" s="980">
        <f ca="1">E14</f>
        <v>18264</v>
      </c>
      <c r="Q14" s="980">
        <f ca="1">F14</f>
        <v>18264</v>
      </c>
      <c r="R14" s="682"/>
      <c r="S14" s="682"/>
      <c r="U14" s="682"/>
      <c r="V14" s="682" t="s">
        <v>954</v>
      </c>
      <c r="W14" s="682"/>
      <c r="X14" s="682"/>
      <c r="Y14" s="682" t="s">
        <v>1083</v>
      </c>
      <c r="Z14" s="682"/>
      <c r="AA14" s="682"/>
      <c r="AB14" s="682"/>
      <c r="AC14" s="682"/>
      <c r="AD14" s="682"/>
      <c r="AE14" s="682"/>
      <c r="AF14" s="682"/>
      <c r="AG14" s="682"/>
      <c r="AH14" s="682"/>
      <c r="AI14" s="682"/>
      <c r="AJ14" s="682"/>
      <c r="AK14" s="682"/>
      <c r="AL14" s="682"/>
      <c r="AM14" s="682"/>
      <c r="AN14" s="682"/>
      <c r="AO14" s="682"/>
      <c r="AP14" s="682"/>
      <c r="AQ14" s="682"/>
      <c r="AR14" s="682"/>
      <c r="AS14" s="682"/>
      <c r="AT14" s="682"/>
    </row>
    <row r="15" spans="1:46" s="489" customFormat="1">
      <c r="A15" s="57"/>
      <c r="B15" s="682"/>
      <c r="C15" s="257"/>
      <c r="E15" s="30"/>
      <c r="F15" s="30"/>
      <c r="G15" s="682"/>
      <c r="H15" s="682"/>
      <c r="J15" s="57"/>
      <c r="K15" s="79"/>
      <c r="L15" s="57"/>
      <c r="M15" s="682"/>
      <c r="N15" s="257"/>
      <c r="P15" s="30"/>
      <c r="Q15" s="30"/>
      <c r="R15" s="682"/>
      <c r="S15" s="682"/>
      <c r="U15" s="682"/>
      <c r="V15" s="682" t="s">
        <v>955</v>
      </c>
      <c r="W15" s="682"/>
      <c r="X15" s="682"/>
      <c r="Y15" s="682" t="s">
        <v>1084</v>
      </c>
      <c r="Z15" s="682"/>
      <c r="AA15" s="682"/>
      <c r="AB15" s="682"/>
      <c r="AC15" s="682"/>
      <c r="AD15" s="682"/>
      <c r="AE15" s="682"/>
      <c r="AF15" s="682"/>
      <c r="AG15" s="682"/>
      <c r="AH15" s="682"/>
      <c r="AI15" s="682"/>
      <c r="AJ15" s="682"/>
      <c r="AK15" s="682"/>
      <c r="AL15" s="682"/>
      <c r="AM15" s="682"/>
      <c r="AN15" s="682"/>
      <c r="AO15" s="682"/>
      <c r="AP15" s="682"/>
      <c r="AQ15" s="682"/>
      <c r="AR15" s="682"/>
      <c r="AS15" s="682"/>
      <c r="AT15" s="682"/>
    </row>
    <row r="16" spans="1:46" s="489" customFormat="1">
      <c r="A16" s="57"/>
      <c r="B16" s="682"/>
      <c r="C16" s="257"/>
      <c r="D16" s="34" t="s">
        <v>45</v>
      </c>
      <c r="E16" s="981" t="str">
        <f ca="1">'Admin Settings'!S5</f>
        <v>M</v>
      </c>
      <c r="F16" s="981" t="str">
        <f ca="1">'Admin Settings'!S6</f>
        <v>M</v>
      </c>
      <c r="G16" s="198"/>
      <c r="H16" s="198"/>
      <c r="J16" s="57"/>
      <c r="K16" s="79"/>
      <c r="L16" s="57"/>
      <c r="M16" s="682"/>
      <c r="N16" s="257"/>
      <c r="O16" s="34" t="s">
        <v>45</v>
      </c>
      <c r="P16" s="981" t="str">
        <f ca="1">E16</f>
        <v>M</v>
      </c>
      <c r="Q16" s="981" t="str">
        <f ca="1">F16</f>
        <v>M</v>
      </c>
      <c r="R16" s="198"/>
      <c r="S16" s="198"/>
      <c r="U16" s="682"/>
      <c r="V16" s="682" t="s">
        <v>956</v>
      </c>
      <c r="W16" s="682"/>
      <c r="X16" s="682"/>
      <c r="Y16" s="682" t="s">
        <v>964</v>
      </c>
      <c r="Z16" s="682"/>
      <c r="AA16" s="682"/>
      <c r="AB16" s="682"/>
      <c r="AC16" s="682"/>
      <c r="AD16" s="682"/>
      <c r="AE16" s="682"/>
      <c r="AF16" s="682"/>
      <c r="AG16" s="682"/>
      <c r="AH16" s="682"/>
      <c r="AI16" s="682"/>
      <c r="AJ16" s="682"/>
      <c r="AK16" s="682"/>
      <c r="AL16" s="682"/>
      <c r="AM16" s="682"/>
      <c r="AN16" s="682"/>
      <c r="AO16" s="682"/>
      <c r="AP16" s="682"/>
      <c r="AQ16" s="682"/>
      <c r="AR16" s="682"/>
      <c r="AS16" s="682"/>
      <c r="AT16" s="682"/>
    </row>
    <row r="17" spans="1:46" s="489" customFormat="1">
      <c r="A17" s="57"/>
      <c r="B17" s="682"/>
      <c r="C17" s="257"/>
      <c r="D17" s="34"/>
      <c r="E17" s="407"/>
      <c r="F17" s="407"/>
      <c r="G17" s="198"/>
      <c r="H17" s="198"/>
      <c r="J17" s="57"/>
      <c r="K17" s="79"/>
      <c r="L17" s="57"/>
      <c r="M17" s="682"/>
      <c r="N17" s="257"/>
      <c r="O17" s="34"/>
      <c r="P17" s="407"/>
      <c r="Q17" s="407"/>
      <c r="R17" s="198"/>
      <c r="S17" s="198"/>
      <c r="U17" s="682"/>
      <c r="V17" s="682" t="s">
        <v>957</v>
      </c>
      <c r="W17" s="682"/>
      <c r="X17" s="682"/>
      <c r="Y17" s="682" t="s">
        <v>965</v>
      </c>
      <c r="Z17" s="682"/>
      <c r="AA17" s="682"/>
      <c r="AB17" s="682"/>
      <c r="AC17" s="682"/>
      <c r="AD17" s="682"/>
      <c r="AE17" s="682"/>
      <c r="AF17" s="682"/>
      <c r="AG17" s="682"/>
      <c r="AH17" s="682"/>
      <c r="AI17" s="682"/>
      <c r="AJ17" s="682"/>
      <c r="AK17" s="682"/>
      <c r="AL17" s="682"/>
      <c r="AM17" s="682"/>
      <c r="AN17" s="682"/>
      <c r="AO17" s="682"/>
      <c r="AP17" s="682"/>
      <c r="AQ17" s="682"/>
      <c r="AR17" s="682"/>
      <c r="AS17" s="682"/>
      <c r="AT17" s="682"/>
    </row>
    <row r="18" spans="1:46" s="489" customFormat="1">
      <c r="A18" s="57"/>
      <c r="B18" s="682"/>
      <c r="C18" s="257"/>
      <c r="D18" s="242" t="s">
        <v>46</v>
      </c>
      <c r="E18" s="982" t="b">
        <f>IF(APCHomeownerStatus="Yes",TRUE,FALSE)</f>
        <v>1</v>
      </c>
      <c r="F18" s="407"/>
      <c r="G18" s="198"/>
      <c r="H18" s="198"/>
      <c r="J18" s="57"/>
      <c r="K18" s="79"/>
      <c r="L18" s="57"/>
      <c r="M18" s="682"/>
      <c r="N18" s="257"/>
      <c r="O18" s="242" t="s">
        <v>46</v>
      </c>
      <c r="P18" s="982" t="b">
        <f>E18</f>
        <v>1</v>
      </c>
      <c r="Q18" s="407"/>
      <c r="R18" s="198"/>
      <c r="S18" s="198"/>
      <c r="U18" s="682"/>
      <c r="V18" s="682" t="s">
        <v>966</v>
      </c>
      <c r="W18" s="682"/>
      <c r="X18" s="682"/>
      <c r="Y18" s="682" t="s">
        <v>969</v>
      </c>
      <c r="Z18" s="682"/>
      <c r="AA18" s="682"/>
      <c r="AB18" s="682"/>
      <c r="AC18" s="682"/>
      <c r="AD18" s="682"/>
      <c r="AE18" s="682"/>
      <c r="AF18" s="682"/>
      <c r="AG18" s="682"/>
      <c r="AH18" s="682"/>
      <c r="AI18" s="682"/>
      <c r="AJ18" s="682"/>
      <c r="AK18" s="682"/>
      <c r="AL18" s="682"/>
      <c r="AM18" s="682"/>
      <c r="AN18" s="682"/>
      <c r="AO18" s="682"/>
      <c r="AP18" s="682"/>
      <c r="AQ18" s="682"/>
      <c r="AR18" s="682"/>
      <c r="AS18" s="682"/>
      <c r="AT18" s="682"/>
    </row>
    <row r="19" spans="1:46" s="489" customFormat="1">
      <c r="A19" s="57"/>
      <c r="B19" s="682"/>
      <c r="C19" s="682"/>
      <c r="D19" s="34"/>
      <c r="E19" s="36"/>
      <c r="F19" s="198"/>
      <c r="G19" s="802"/>
      <c r="H19" s="198"/>
      <c r="J19" s="57"/>
      <c r="K19" s="79"/>
      <c r="L19" s="57"/>
      <c r="M19" s="682"/>
      <c r="N19" s="682"/>
      <c r="O19" s="34"/>
      <c r="P19" s="36"/>
      <c r="Q19" s="198"/>
      <c r="R19" s="802"/>
      <c r="S19" s="198"/>
      <c r="U19" s="682"/>
      <c r="V19" s="682" t="s">
        <v>967</v>
      </c>
      <c r="W19" s="682"/>
      <c r="X19" s="682"/>
      <c r="Y19" s="682" t="s">
        <v>970</v>
      </c>
      <c r="Z19" s="682"/>
      <c r="AA19" s="682"/>
      <c r="AB19" s="682"/>
      <c r="AC19" s="682"/>
      <c r="AD19" s="682"/>
      <c r="AE19" s="682"/>
      <c r="AF19" s="682"/>
      <c r="AG19" s="682"/>
      <c r="AH19" s="682"/>
      <c r="AI19" s="682"/>
      <c r="AJ19" s="682"/>
      <c r="AK19" s="682"/>
      <c r="AL19" s="682"/>
      <c r="AM19" s="682"/>
      <c r="AN19" s="682"/>
      <c r="AO19" s="682"/>
      <c r="AP19" s="682"/>
      <c r="AQ19" s="682"/>
      <c r="AR19" s="682"/>
      <c r="AS19" s="682"/>
      <c r="AT19" s="682"/>
    </row>
    <row r="20" spans="1:46" s="489" customFormat="1">
      <c r="A20" s="57"/>
      <c r="B20" s="682"/>
      <c r="C20" s="682"/>
      <c r="D20" s="34"/>
      <c r="E20" s="36"/>
      <c r="F20" s="36"/>
      <c r="G20" s="198"/>
      <c r="H20" s="198"/>
      <c r="J20" s="57"/>
      <c r="K20" s="79"/>
      <c r="L20" s="57"/>
      <c r="M20" s="682"/>
      <c r="N20" s="682"/>
      <c r="O20" s="34"/>
      <c r="P20" s="36"/>
      <c r="Q20" s="36"/>
      <c r="R20" s="198"/>
      <c r="S20" s="198"/>
      <c r="U20" s="682"/>
      <c r="V20" s="682" t="s">
        <v>968</v>
      </c>
      <c r="W20" s="682"/>
      <c r="X20" s="682"/>
      <c r="Y20" s="682" t="s">
        <v>1086</v>
      </c>
      <c r="Z20" s="682"/>
      <c r="AA20" s="682"/>
      <c r="AB20" s="682"/>
      <c r="AC20" s="682"/>
      <c r="AD20" s="682"/>
      <c r="AE20" s="682"/>
      <c r="AF20" s="682"/>
      <c r="AG20" s="682"/>
      <c r="AH20" s="682"/>
      <c r="AI20" s="682"/>
      <c r="AJ20" s="682"/>
      <c r="AK20" s="682"/>
      <c r="AL20" s="682"/>
      <c r="AM20" s="682"/>
      <c r="AN20" s="682"/>
      <c r="AO20" s="682"/>
      <c r="AP20" s="682"/>
      <c r="AQ20" s="682"/>
      <c r="AR20" s="682"/>
      <c r="AS20" s="682"/>
      <c r="AT20" s="682"/>
    </row>
    <row r="21" spans="1:46" s="489" customFormat="1" ht="20.25" customHeight="1">
      <c r="A21" s="57"/>
      <c r="B21" s="95"/>
      <c r="C21" s="264" t="s">
        <v>310</v>
      </c>
      <c r="D21" s="95"/>
      <c r="E21" s="95"/>
      <c r="F21" s="95"/>
      <c r="G21" s="95"/>
      <c r="H21" s="95"/>
      <c r="I21" s="95"/>
      <c r="J21" s="796"/>
      <c r="K21" s="787"/>
      <c r="L21" s="795"/>
      <c r="M21" s="776"/>
      <c r="N21" s="775" t="s">
        <v>310</v>
      </c>
      <c r="O21" s="776"/>
      <c r="P21" s="776"/>
      <c r="Q21" s="776"/>
      <c r="R21" s="776"/>
      <c r="S21" s="776"/>
      <c r="T21" s="776"/>
      <c r="U21" s="682"/>
      <c r="V21" s="682" t="s">
        <v>1085</v>
      </c>
      <c r="W21" s="682"/>
      <c r="X21" s="682"/>
      <c r="Y21" s="682" t="s">
        <v>971</v>
      </c>
      <c r="Z21" s="682"/>
      <c r="AA21" s="682"/>
      <c r="AB21" s="682"/>
      <c r="AC21" s="682"/>
      <c r="AD21" s="682"/>
      <c r="AE21" s="682"/>
      <c r="AF21" s="682"/>
      <c r="AG21" s="682"/>
      <c r="AH21" s="682"/>
      <c r="AI21" s="682"/>
      <c r="AJ21" s="682"/>
      <c r="AK21" s="682"/>
      <c r="AL21" s="682"/>
      <c r="AM21" s="682"/>
      <c r="AN21" s="682"/>
      <c r="AO21" s="682"/>
      <c r="AP21" s="682"/>
      <c r="AQ21" s="682"/>
      <c r="AR21" s="682"/>
      <c r="AS21" s="682"/>
      <c r="AT21" s="682"/>
    </row>
    <row r="22" spans="1:46" s="682" customFormat="1">
      <c r="A22" s="57"/>
      <c r="C22" s="96"/>
      <c r="D22" s="96"/>
      <c r="E22" s="96"/>
      <c r="F22" s="96"/>
      <c r="I22" s="96"/>
      <c r="J22" s="796"/>
      <c r="K22" s="787"/>
      <c r="L22" s="795"/>
      <c r="N22" s="96"/>
      <c r="O22" s="96"/>
      <c r="P22" s="96"/>
      <c r="Q22" s="96"/>
      <c r="T22" s="96"/>
      <c r="V22" s="682" t="s">
        <v>1036</v>
      </c>
      <c r="Y22" s="682" t="s">
        <v>972</v>
      </c>
    </row>
    <row r="23" spans="1:46" s="489" customFormat="1">
      <c r="A23" s="57"/>
      <c r="B23" s="682"/>
      <c r="C23" s="258"/>
      <c r="D23" s="37" t="s">
        <v>155</v>
      </c>
      <c r="E23" s="981">
        <f>APCRequiredIncome</f>
        <v>70000</v>
      </c>
      <c r="F23" s="100" t="s">
        <v>47</v>
      </c>
      <c r="G23" s="231"/>
      <c r="H23" s="231"/>
      <c r="I23" s="231"/>
      <c r="J23" s="797"/>
      <c r="K23" s="788"/>
      <c r="L23" s="224"/>
      <c r="M23" s="682"/>
      <c r="N23" s="258"/>
      <c r="O23" s="37" t="s">
        <v>155</v>
      </c>
      <c r="P23" s="981">
        <f>E23</f>
        <v>70000</v>
      </c>
      <c r="Q23" s="100" t="s">
        <v>47</v>
      </c>
      <c r="R23" s="231"/>
      <c r="S23" s="231"/>
      <c r="T23" s="231"/>
      <c r="U23" s="682"/>
      <c r="V23" s="682" t="s">
        <v>1048</v>
      </c>
      <c r="W23" s="682"/>
      <c r="X23" s="682"/>
      <c r="Y23" s="682" t="s">
        <v>1087</v>
      </c>
      <c r="Z23" s="682"/>
      <c r="AA23" s="682"/>
      <c r="AB23" s="682"/>
      <c r="AC23" s="682"/>
      <c r="AD23" s="682"/>
      <c r="AE23" s="682"/>
      <c r="AF23" s="682"/>
      <c r="AG23" s="682"/>
      <c r="AH23" s="682"/>
      <c r="AI23" s="682"/>
      <c r="AJ23" s="682"/>
      <c r="AK23" s="682"/>
      <c r="AL23" s="682"/>
      <c r="AM23" s="682"/>
      <c r="AN23" s="682"/>
      <c r="AO23" s="682"/>
      <c r="AP23" s="682"/>
      <c r="AQ23" s="682"/>
      <c r="AR23" s="682"/>
      <c r="AS23" s="682"/>
      <c r="AT23" s="682"/>
    </row>
    <row r="24" spans="1:46" s="489" customFormat="1">
      <c r="A24" s="57"/>
      <c r="B24" s="682"/>
      <c r="C24" s="257"/>
      <c r="D24" s="34"/>
      <c r="E24" s="36"/>
      <c r="F24" s="198"/>
      <c r="G24" s="230"/>
      <c r="H24" s="230"/>
      <c r="I24" s="230"/>
      <c r="J24" s="798"/>
      <c r="K24" s="789"/>
      <c r="L24" s="57"/>
      <c r="M24" s="682"/>
      <c r="N24" s="257"/>
      <c r="O24" s="34"/>
      <c r="P24" s="36"/>
      <c r="Q24" s="198"/>
      <c r="R24" s="230"/>
      <c r="S24" s="230"/>
      <c r="T24" s="230"/>
      <c r="U24" s="682"/>
      <c r="V24" s="682" t="s">
        <v>1150</v>
      </c>
      <c r="W24" s="682"/>
      <c r="X24" s="682"/>
      <c r="Y24" s="682" t="s">
        <v>973</v>
      </c>
      <c r="Z24" s="682"/>
      <c r="AA24" s="682"/>
      <c r="AB24" s="682"/>
      <c r="AC24" s="682"/>
      <c r="AD24" s="682"/>
      <c r="AE24" s="682"/>
      <c r="AF24" s="682"/>
      <c r="AG24" s="682"/>
      <c r="AH24" s="682"/>
      <c r="AI24" s="682"/>
      <c r="AJ24" s="682"/>
      <c r="AK24" s="682"/>
      <c r="AL24" s="682"/>
      <c r="AM24" s="682"/>
      <c r="AN24" s="682"/>
      <c r="AO24" s="682"/>
      <c r="AP24" s="682"/>
      <c r="AQ24" s="682"/>
      <c r="AR24" s="682"/>
      <c r="AS24" s="682"/>
      <c r="AT24" s="682"/>
    </row>
    <row r="25" spans="1:46" s="489" customFormat="1">
      <c r="A25" s="57"/>
      <c r="B25" s="682"/>
      <c r="C25" s="257"/>
      <c r="D25" s="84" t="s">
        <v>219</v>
      </c>
      <c r="E25" s="981" t="str">
        <f>'Admin Settings'!F107</f>
        <v>Maintain total target income</v>
      </c>
      <c r="F25" s="198"/>
      <c r="G25" s="50"/>
      <c r="H25" s="391"/>
      <c r="I25" s="230"/>
      <c r="J25" s="798"/>
      <c r="K25" s="789"/>
      <c r="L25" s="57"/>
      <c r="M25" s="682"/>
      <c r="N25" s="257"/>
      <c r="O25" s="84" t="s">
        <v>219</v>
      </c>
      <c r="P25" s="981" t="str">
        <f>E25</f>
        <v>Maintain total target income</v>
      </c>
      <c r="Q25" s="198"/>
      <c r="R25" s="50"/>
      <c r="S25" s="391"/>
      <c r="T25" s="230"/>
      <c r="U25" s="682"/>
      <c r="W25" s="682"/>
      <c r="X25" s="682"/>
      <c r="Y25" s="682" t="s">
        <v>974</v>
      </c>
      <c r="Z25" s="682"/>
      <c r="AA25" s="682"/>
      <c r="AB25" s="682"/>
      <c r="AC25" s="682"/>
      <c r="AD25" s="682"/>
      <c r="AE25" s="682"/>
      <c r="AF25" s="682"/>
      <c r="AG25" s="682"/>
      <c r="AH25" s="682"/>
      <c r="AI25" s="682"/>
      <c r="AJ25" s="682"/>
      <c r="AK25" s="682"/>
      <c r="AL25" s="682"/>
      <c r="AM25" s="682"/>
      <c r="AN25" s="682"/>
      <c r="AO25" s="682"/>
      <c r="AP25" s="682"/>
      <c r="AQ25" s="682"/>
      <c r="AR25" s="682"/>
      <c r="AS25" s="682"/>
      <c r="AT25" s="682"/>
    </row>
    <row r="26" spans="1:46" s="489" customFormat="1">
      <c r="A26" s="57"/>
      <c r="B26" s="682"/>
      <c r="C26" s="259"/>
      <c r="D26" s="34"/>
      <c r="E26" s="36"/>
      <c r="F26" s="36"/>
      <c r="G26" s="198"/>
      <c r="H26" s="198"/>
      <c r="J26" s="57"/>
      <c r="K26" s="79"/>
      <c r="L26" s="57"/>
      <c r="M26" s="682"/>
      <c r="N26" s="259"/>
      <c r="O26" s="34"/>
      <c r="P26" s="36"/>
      <c r="Q26" s="36"/>
      <c r="R26" s="198"/>
      <c r="S26" s="198"/>
      <c r="U26" s="682"/>
      <c r="W26" s="682"/>
      <c r="X26" s="682"/>
      <c r="Y26" s="682" t="s">
        <v>975</v>
      </c>
      <c r="Z26" s="682"/>
      <c r="AA26" s="682"/>
      <c r="AB26" s="682"/>
      <c r="AC26" s="682"/>
      <c r="AD26" s="682"/>
      <c r="AE26" s="682"/>
      <c r="AF26" s="682"/>
      <c r="AG26" s="682"/>
      <c r="AH26" s="682"/>
      <c r="AI26" s="682"/>
      <c r="AJ26" s="682"/>
      <c r="AK26" s="682"/>
      <c r="AL26" s="682"/>
      <c r="AM26" s="682"/>
      <c r="AN26" s="682"/>
      <c r="AO26" s="682"/>
      <c r="AP26" s="682"/>
      <c r="AQ26" s="682"/>
      <c r="AR26" s="682"/>
      <c r="AS26" s="682"/>
      <c r="AT26" s="682"/>
    </row>
    <row r="27" spans="1:46" s="489" customFormat="1" ht="20.25" customHeight="1">
      <c r="A27" s="57"/>
      <c r="B27" s="78"/>
      <c r="C27" s="264" t="s">
        <v>99</v>
      </c>
      <c r="D27" s="78"/>
      <c r="E27" s="78"/>
      <c r="F27" s="78"/>
      <c r="G27" s="78"/>
      <c r="H27" s="78"/>
      <c r="I27" s="78"/>
      <c r="J27" s="795"/>
      <c r="K27" s="785"/>
      <c r="L27" s="795"/>
      <c r="M27" s="774"/>
      <c r="N27" s="775" t="s">
        <v>99</v>
      </c>
      <c r="O27" s="774"/>
      <c r="P27" s="774"/>
      <c r="Q27" s="774"/>
      <c r="R27" s="774"/>
      <c r="S27" s="774"/>
      <c r="T27" s="774"/>
      <c r="U27" s="682"/>
      <c r="W27" s="682"/>
      <c r="X27" s="682"/>
      <c r="Y27" s="682" t="s">
        <v>976</v>
      </c>
      <c r="Z27" s="682"/>
      <c r="AA27" s="682"/>
      <c r="AB27" s="682"/>
      <c r="AC27" s="682"/>
      <c r="AD27" s="682"/>
      <c r="AE27" s="682"/>
      <c r="AF27" s="682"/>
      <c r="AG27" s="682"/>
      <c r="AH27" s="682"/>
      <c r="AI27" s="682"/>
      <c r="AJ27" s="682"/>
      <c r="AK27" s="682"/>
      <c r="AL27" s="682"/>
      <c r="AM27" s="682"/>
      <c r="AN27" s="682"/>
      <c r="AO27" s="682"/>
      <c r="AP27" s="682"/>
      <c r="AQ27" s="682"/>
      <c r="AR27" s="682"/>
      <c r="AS27" s="682"/>
      <c r="AT27" s="682"/>
    </row>
    <row r="28" spans="1:46" s="682" customFormat="1">
      <c r="A28" s="57"/>
      <c r="C28" s="35"/>
      <c r="D28" s="35"/>
      <c r="E28" s="35"/>
      <c r="F28" s="35"/>
      <c r="G28" s="35"/>
      <c r="H28" s="35"/>
      <c r="I28" s="35"/>
      <c r="J28" s="795"/>
      <c r="K28" s="785"/>
      <c r="L28" s="795"/>
      <c r="M28" s="1030"/>
      <c r="N28" s="35"/>
      <c r="O28" s="35"/>
      <c r="P28" s="35"/>
      <c r="Q28" s="35"/>
      <c r="R28" s="35"/>
      <c r="S28" s="35"/>
      <c r="T28" s="35"/>
      <c r="Y28" s="682" t="s">
        <v>977</v>
      </c>
    </row>
    <row r="29" spans="1:46" s="682" customFormat="1">
      <c r="A29" s="57"/>
      <c r="C29" s="35"/>
      <c r="D29" s="37" t="s">
        <v>218</v>
      </c>
      <c r="E29" s="222">
        <v>0</v>
      </c>
      <c r="F29" s="35"/>
      <c r="G29" s="35"/>
      <c r="H29" s="223" t="s">
        <v>250</v>
      </c>
      <c r="I29" s="35"/>
      <c r="J29" s="795"/>
      <c r="K29" s="785"/>
      <c r="L29" s="795"/>
      <c r="M29" s="1030"/>
      <c r="N29" s="35"/>
      <c r="O29" s="37" t="s">
        <v>218</v>
      </c>
      <c r="P29" s="222">
        <v>0</v>
      </c>
      <c r="Q29" s="35"/>
      <c r="R29" s="35"/>
      <c r="S29" s="223" t="s">
        <v>250</v>
      </c>
      <c r="T29" s="35"/>
      <c r="Y29" s="682" t="s">
        <v>978</v>
      </c>
    </row>
    <row r="30" spans="1:46" s="682" customFormat="1" ht="15.75" customHeight="1">
      <c r="A30" s="57"/>
      <c r="C30" s="35"/>
      <c r="D30" s="55" t="s">
        <v>412</v>
      </c>
      <c r="E30" s="262">
        <v>0</v>
      </c>
      <c r="F30" s="992"/>
      <c r="G30" s="55" t="s">
        <v>413</v>
      </c>
      <c r="H30" s="222">
        <v>0</v>
      </c>
      <c r="I30" s="35"/>
      <c r="J30" s="795"/>
      <c r="K30" s="785"/>
      <c r="L30" s="795"/>
      <c r="M30" s="40"/>
      <c r="N30" s="35"/>
      <c r="O30" s="55" t="s">
        <v>412</v>
      </c>
      <c r="P30" s="262">
        <v>0</v>
      </c>
      <c r="Q30" s="992"/>
      <c r="R30" s="55" t="s">
        <v>413</v>
      </c>
      <c r="S30" s="222">
        <v>0</v>
      </c>
      <c r="T30" s="35"/>
      <c r="Y30" s="682" t="s">
        <v>979</v>
      </c>
    </row>
    <row r="31" spans="1:46" s="682" customFormat="1">
      <c r="A31" s="57"/>
      <c r="C31" s="35"/>
      <c r="D31" s="34" t="s">
        <v>252</v>
      </c>
      <c r="E31" s="262">
        <v>0</v>
      </c>
      <c r="F31" s="992"/>
      <c r="G31" s="55" t="s">
        <v>251</v>
      </c>
      <c r="H31" s="222">
        <f ca="1">E55+F55</f>
        <v>0</v>
      </c>
      <c r="I31" s="35"/>
      <c r="J31" s="795"/>
      <c r="K31" s="785"/>
      <c r="L31" s="795"/>
      <c r="M31" s="40"/>
      <c r="N31" s="35"/>
      <c r="O31" s="34" t="s">
        <v>252</v>
      </c>
      <c r="P31" s="262">
        <v>0</v>
      </c>
      <c r="Q31" s="992"/>
      <c r="R31" s="55" t="s">
        <v>251</v>
      </c>
      <c r="S31" s="222">
        <f ca="1">P55+Q55</f>
        <v>8750.07</v>
      </c>
      <c r="T31" s="35"/>
      <c r="Y31" s="682" t="s">
        <v>980</v>
      </c>
    </row>
    <row r="32" spans="1:46" s="682" customFormat="1">
      <c r="A32" s="57"/>
      <c r="C32" s="35"/>
      <c r="D32" s="34" t="s">
        <v>248</v>
      </c>
      <c r="E32" s="262">
        <v>0</v>
      </c>
      <c r="F32" s="992"/>
      <c r="G32" s="55" t="s">
        <v>254</v>
      </c>
      <c r="H32" s="222">
        <v>0</v>
      </c>
      <c r="I32" s="35"/>
      <c r="J32" s="795"/>
      <c r="K32" s="785"/>
      <c r="L32" s="795"/>
      <c r="M32" s="40"/>
      <c r="N32" s="35"/>
      <c r="O32" s="34" t="s">
        <v>248</v>
      </c>
      <c r="P32" s="262">
        <v>0</v>
      </c>
      <c r="Q32" s="992"/>
      <c r="R32" s="55" t="s">
        <v>254</v>
      </c>
      <c r="S32" s="222">
        <v>0</v>
      </c>
      <c r="T32" s="35"/>
      <c r="Y32" s="682" t="s">
        <v>981</v>
      </c>
    </row>
    <row r="33" spans="1:46" s="682" customFormat="1">
      <c r="A33" s="57"/>
      <c r="C33" s="35"/>
      <c r="D33" s="34" t="s">
        <v>253</v>
      </c>
      <c r="E33" s="262">
        <v>0</v>
      </c>
      <c r="F33" s="992"/>
      <c r="G33" s="55" t="s">
        <v>255</v>
      </c>
      <c r="H33" s="222">
        <v>0</v>
      </c>
      <c r="I33" s="35"/>
      <c r="J33" s="795"/>
      <c r="K33" s="785"/>
      <c r="L33" s="795"/>
      <c r="M33" s="40"/>
      <c r="N33" s="35"/>
      <c r="O33" s="34" t="s">
        <v>253</v>
      </c>
      <c r="P33" s="262">
        <v>0</v>
      </c>
      <c r="Q33" s="992"/>
      <c r="R33" s="55" t="s">
        <v>255</v>
      </c>
      <c r="S33" s="222">
        <v>0</v>
      </c>
      <c r="T33" s="35"/>
      <c r="Y33" s="682" t="s">
        <v>982</v>
      </c>
    </row>
    <row r="34" spans="1:46" s="682" customFormat="1">
      <c r="A34" s="57"/>
      <c r="C34" s="35"/>
      <c r="D34" s="34" t="s">
        <v>249</v>
      </c>
      <c r="E34" s="262">
        <v>0</v>
      </c>
      <c r="F34" s="992"/>
      <c r="G34" s="55" t="s">
        <v>256</v>
      </c>
      <c r="H34" s="222">
        <v>0</v>
      </c>
      <c r="I34" s="35"/>
      <c r="J34" s="795"/>
      <c r="K34" s="785"/>
      <c r="L34" s="795"/>
      <c r="M34" s="40"/>
      <c r="N34" s="35"/>
      <c r="O34" s="34" t="s">
        <v>249</v>
      </c>
      <c r="P34" s="262">
        <v>0</v>
      </c>
      <c r="Q34" s="992"/>
      <c r="R34" s="55" t="s">
        <v>256</v>
      </c>
      <c r="S34" s="222">
        <v>0</v>
      </c>
      <c r="T34" s="35"/>
      <c r="Y34" s="682" t="s">
        <v>983</v>
      </c>
    </row>
    <row r="35" spans="1:46" s="682" customFormat="1">
      <c r="A35" s="57"/>
      <c r="C35" s="35"/>
      <c r="D35" s="34" t="s">
        <v>261</v>
      </c>
      <c r="E35" s="263">
        <v>0</v>
      </c>
      <c r="F35" s="992"/>
      <c r="H35" s="36"/>
      <c r="I35" s="35"/>
      <c r="J35" s="795"/>
      <c r="K35" s="785"/>
      <c r="L35" s="795"/>
      <c r="M35" s="40"/>
      <c r="N35" s="35"/>
      <c r="O35" s="34" t="s">
        <v>261</v>
      </c>
      <c r="P35" s="263">
        <v>0</v>
      </c>
      <c r="Q35" s="992"/>
      <c r="S35" s="36"/>
      <c r="T35" s="35"/>
      <c r="Y35" s="682" t="s">
        <v>1088</v>
      </c>
    </row>
    <row r="36" spans="1:46" s="682" customFormat="1">
      <c r="A36" s="57"/>
      <c r="C36" s="35"/>
      <c r="D36" s="34" t="s">
        <v>79</v>
      </c>
      <c r="E36" s="991">
        <v>1</v>
      </c>
      <c r="F36" s="992"/>
      <c r="H36" s="36"/>
      <c r="I36" s="35"/>
      <c r="J36" s="795"/>
      <c r="K36" s="785"/>
      <c r="L36" s="795"/>
      <c r="M36" s="40"/>
      <c r="N36" s="35"/>
      <c r="O36" s="34" t="s">
        <v>79</v>
      </c>
      <c r="P36" s="991">
        <v>1</v>
      </c>
      <c r="Q36" s="992"/>
      <c r="S36" s="36"/>
      <c r="T36" s="35"/>
      <c r="Y36" s="682" t="s">
        <v>984</v>
      </c>
    </row>
    <row r="37" spans="1:46" s="682" customFormat="1">
      <c r="A37" s="57"/>
      <c r="C37" s="35"/>
      <c r="D37" s="39"/>
      <c r="E37" s="35"/>
      <c r="F37" s="35"/>
      <c r="G37" s="100"/>
      <c r="H37" s="35"/>
      <c r="I37" s="35"/>
      <c r="J37" s="795"/>
      <c r="K37" s="785"/>
      <c r="L37" s="795"/>
      <c r="M37" s="40"/>
      <c r="N37" s="35"/>
      <c r="O37" s="39"/>
      <c r="P37" s="35"/>
      <c r="Q37" s="35"/>
      <c r="R37" s="100"/>
      <c r="S37" s="35"/>
      <c r="T37" s="35"/>
      <c r="Y37" s="682" t="s">
        <v>985</v>
      </c>
    </row>
    <row r="38" spans="1:46" s="489" customFormat="1">
      <c r="A38" s="57"/>
      <c r="B38" s="226"/>
      <c r="C38" s="226"/>
      <c r="D38" s="226" t="s">
        <v>947</v>
      </c>
      <c r="E38" s="226"/>
      <c r="F38" s="226"/>
      <c r="G38" s="226"/>
      <c r="H38" s="226"/>
      <c r="I38" s="226"/>
      <c r="J38" s="799"/>
      <c r="K38" s="226"/>
      <c r="L38" s="57"/>
      <c r="M38" s="777"/>
      <c r="N38" s="777"/>
      <c r="O38" s="777" t="s">
        <v>947</v>
      </c>
      <c r="P38" s="777"/>
      <c r="Q38" s="777"/>
      <c r="R38" s="777"/>
      <c r="S38" s="777"/>
      <c r="T38" s="777"/>
      <c r="U38" s="682"/>
      <c r="W38" s="682"/>
      <c r="X38" s="682"/>
      <c r="Y38" s="682" t="s">
        <v>986</v>
      </c>
      <c r="Z38" s="682"/>
      <c r="AA38" s="682"/>
      <c r="AB38" s="682"/>
      <c r="AC38" s="682"/>
      <c r="AD38" s="682"/>
      <c r="AE38" s="682"/>
      <c r="AF38" s="682"/>
      <c r="AG38" s="682"/>
      <c r="AH38" s="682"/>
      <c r="AI38" s="682"/>
      <c r="AJ38" s="682"/>
      <c r="AK38" s="682"/>
      <c r="AL38" s="682"/>
      <c r="AM38" s="682"/>
      <c r="AN38" s="682"/>
      <c r="AO38" s="682"/>
      <c r="AP38" s="682"/>
      <c r="AQ38" s="682"/>
      <c r="AR38" s="682"/>
      <c r="AS38" s="682"/>
      <c r="AT38" s="682"/>
    </row>
    <row r="39" spans="1:46" s="682" customFormat="1">
      <c r="A39" s="57"/>
      <c r="B39" s="1017"/>
      <c r="C39" s="261"/>
      <c r="D39" s="261"/>
      <c r="E39" s="261"/>
      <c r="F39" s="261"/>
      <c r="G39" s="261"/>
      <c r="H39" s="261"/>
      <c r="I39" s="261"/>
      <c r="J39" s="799"/>
      <c r="K39" s="226"/>
      <c r="L39" s="57"/>
      <c r="M39" s="1019"/>
      <c r="N39" s="261"/>
      <c r="O39" s="261"/>
      <c r="P39" s="261"/>
      <c r="Q39" s="261"/>
      <c r="R39" s="261"/>
      <c r="S39" s="261"/>
      <c r="T39" s="261"/>
      <c r="Y39" s="682" t="s">
        <v>987</v>
      </c>
    </row>
    <row r="40" spans="1:46" s="489" customFormat="1">
      <c r="A40" s="57"/>
      <c r="B40" s="1018"/>
      <c r="C40" s="257"/>
      <c r="D40" s="37" t="s">
        <v>258</v>
      </c>
      <c r="E40" s="363">
        <f>'Admin Settings'!E25</f>
        <v>200000</v>
      </c>
      <c r="F40" s="363">
        <f>'Admin Settings'!E26</f>
        <v>150000</v>
      </c>
      <c r="G40" s="198"/>
      <c r="J40" s="57"/>
      <c r="K40" s="79"/>
      <c r="L40" s="57"/>
      <c r="M40" s="40"/>
      <c r="N40" s="257"/>
      <c r="O40" s="37" t="s">
        <v>258</v>
      </c>
      <c r="P40" s="363">
        <f>'Admin Settings'!E38</f>
        <v>100000</v>
      </c>
      <c r="Q40" s="363">
        <f>'Admin Settings'!E39</f>
        <v>75000</v>
      </c>
      <c r="R40" s="198"/>
      <c r="U40" s="682"/>
      <c r="W40" s="682"/>
      <c r="X40" s="682"/>
      <c r="Y40" s="682" t="s">
        <v>988</v>
      </c>
      <c r="Z40" s="682"/>
      <c r="AA40" s="682"/>
      <c r="AB40" s="682"/>
      <c r="AC40" s="682"/>
      <c r="AD40" s="682"/>
      <c r="AE40" s="682"/>
      <c r="AF40" s="682"/>
      <c r="AG40" s="682"/>
      <c r="AH40" s="682"/>
      <c r="AI40" s="682"/>
      <c r="AJ40" s="682"/>
      <c r="AK40" s="682"/>
      <c r="AL40" s="682"/>
      <c r="AM40" s="682"/>
      <c r="AN40" s="682"/>
      <c r="AO40" s="682"/>
      <c r="AP40" s="682"/>
      <c r="AQ40" s="682"/>
      <c r="AR40" s="682"/>
      <c r="AS40" s="682"/>
      <c r="AT40" s="682"/>
    </row>
    <row r="41" spans="1:46" s="489" customFormat="1">
      <c r="A41" s="57"/>
      <c r="B41" s="1018"/>
      <c r="C41" s="257"/>
      <c r="D41" s="37" t="s">
        <v>548</v>
      </c>
      <c r="E41" s="364" t="b">
        <f>IF(AND('Admin Settings'!E32="Yes",'Admin Settings'!F32="Deduction"),TRUE,FALSE)</f>
        <v>0</v>
      </c>
      <c r="F41" s="364" t="b">
        <f>IF(AND('Admin Settings'!E33 = "Yes",'Admin Settings'!F33="Deduction"),TRUE,FALSE)</f>
        <v>0</v>
      </c>
      <c r="G41" s="198"/>
      <c r="J41" s="57"/>
      <c r="K41" s="79"/>
      <c r="L41" s="57"/>
      <c r="M41" s="40"/>
      <c r="N41" s="257"/>
      <c r="O41" s="37" t="s">
        <v>548</v>
      </c>
      <c r="P41" s="364" t="b">
        <f>IF(AND('Admin Settings'!E47="Yes",'Admin Settings'!F47="Deduction"),TRUE,FALSE)</f>
        <v>0</v>
      </c>
      <c r="Q41" s="364" t="b">
        <f>IF(AND('Admin Settings'!E48= "Yes",'Admin Settings'!F48="Deduction"),TRUE,FALSE)</f>
        <v>0</v>
      </c>
      <c r="R41" s="198"/>
      <c r="U41" s="682"/>
      <c r="V41" s="682"/>
      <c r="W41" s="682"/>
      <c r="X41" s="682"/>
      <c r="Y41" s="682" t="s">
        <v>989</v>
      </c>
      <c r="Z41" s="682"/>
      <c r="AA41" s="682"/>
      <c r="AB41" s="682"/>
      <c r="AC41" s="682"/>
      <c r="AD41" s="682"/>
      <c r="AE41" s="682"/>
      <c r="AF41" s="682"/>
      <c r="AG41" s="682"/>
      <c r="AH41" s="682"/>
      <c r="AI41" s="682"/>
      <c r="AJ41" s="682"/>
      <c r="AK41" s="682"/>
      <c r="AL41" s="682"/>
      <c r="AM41" s="682"/>
      <c r="AN41" s="682"/>
      <c r="AO41" s="682"/>
      <c r="AP41" s="682"/>
      <c r="AQ41" s="682"/>
      <c r="AR41" s="682"/>
      <c r="AS41" s="682"/>
      <c r="AT41" s="682"/>
    </row>
    <row r="42" spans="1:46" s="489" customFormat="1">
      <c r="A42" s="57"/>
      <c r="B42" s="1018"/>
      <c r="C42" s="257"/>
      <c r="D42" s="37" t="s">
        <v>549</v>
      </c>
      <c r="E42" s="363" t="str">
        <f>IF(SMSFGrandfathered1,MAX('Admin Settings'!I32,0),"")</f>
        <v/>
      </c>
      <c r="F42" s="363" t="str">
        <f>IF(SMSFGrandfathered2,MAX('Admin Settings'!I33,0),"")</f>
        <v/>
      </c>
      <c r="G42" s="198"/>
      <c r="J42" s="57"/>
      <c r="K42" s="79"/>
      <c r="L42" s="57"/>
      <c r="M42" s="40"/>
      <c r="N42" s="257"/>
      <c r="O42" s="37" t="s">
        <v>549</v>
      </c>
      <c r="P42" s="363">
        <f>MAX('Admin Settings'!I47,0)</f>
        <v>0</v>
      </c>
      <c r="Q42" s="363">
        <f>MAX('Admin Settings'!I48,0)</f>
        <v>0</v>
      </c>
      <c r="R42" s="198"/>
      <c r="U42" s="682"/>
      <c r="V42" s="682"/>
      <c r="W42" s="682"/>
      <c r="X42" s="682"/>
      <c r="Y42" s="682" t="s">
        <v>990</v>
      </c>
      <c r="Z42" s="49"/>
      <c r="AA42" s="682"/>
      <c r="AB42" s="682"/>
      <c r="AC42" s="682"/>
      <c r="AD42" s="682"/>
      <c r="AE42" s="682"/>
      <c r="AF42" s="682"/>
      <c r="AG42" s="682"/>
      <c r="AH42" s="682"/>
      <c r="AI42" s="682"/>
      <c r="AJ42" s="682"/>
      <c r="AK42" s="682"/>
      <c r="AL42" s="682"/>
      <c r="AM42" s="682"/>
      <c r="AN42" s="682"/>
      <c r="AO42" s="682"/>
      <c r="AP42" s="682"/>
      <c r="AQ42" s="682"/>
      <c r="AR42" s="682"/>
      <c r="AS42" s="682"/>
      <c r="AT42" s="682"/>
    </row>
    <row r="43" spans="1:46" s="489" customFormat="1">
      <c r="A43" s="57"/>
      <c r="B43" s="1018"/>
      <c r="C43" s="257"/>
      <c r="D43" s="37" t="s">
        <v>232</v>
      </c>
      <c r="E43" s="499">
        <f ca="1">'Admin Settings'!G32</f>
        <v>18.41</v>
      </c>
      <c r="F43" s="499">
        <f ca="1">'Admin Settings'!G33</f>
        <v>18.41</v>
      </c>
      <c r="G43" s="198"/>
      <c r="J43" s="57"/>
      <c r="K43" s="79"/>
      <c r="L43" s="57"/>
      <c r="M43" s="40"/>
      <c r="N43" s="257"/>
      <c r="O43" s="37" t="s">
        <v>232</v>
      </c>
      <c r="P43" s="804">
        <f ca="1">'Admin Settings'!G47</f>
        <v>18.41</v>
      </c>
      <c r="Q43" s="804">
        <f ca="1">'Admin Settings'!G48</f>
        <v>18.41</v>
      </c>
      <c r="R43" s="198"/>
      <c r="U43" s="682"/>
      <c r="V43" s="682"/>
      <c r="W43" s="682"/>
      <c r="X43" s="682"/>
      <c r="Y43" s="682" t="s">
        <v>991</v>
      </c>
      <c r="Z43" s="49"/>
      <c r="AA43" s="682"/>
      <c r="AB43" s="682"/>
      <c r="AC43" s="682"/>
      <c r="AD43" s="682"/>
      <c r="AE43" s="682"/>
      <c r="AF43" s="682"/>
      <c r="AG43" s="682"/>
      <c r="AH43" s="682"/>
      <c r="AI43" s="682"/>
      <c r="AJ43" s="682"/>
      <c r="AK43" s="682"/>
      <c r="AL43" s="682"/>
      <c r="AM43" s="682"/>
      <c r="AN43" s="682"/>
      <c r="AO43" s="682"/>
      <c r="AP43" s="682"/>
      <c r="AQ43" s="682"/>
      <c r="AR43" s="682"/>
      <c r="AS43" s="682"/>
      <c r="AT43" s="682"/>
    </row>
    <row r="44" spans="1:46" s="682" customFormat="1">
      <c r="A44" s="57"/>
      <c r="B44" s="1018"/>
      <c r="C44" s="842"/>
      <c r="D44" s="843" t="s">
        <v>879</v>
      </c>
      <c r="E44" s="363">
        <f>'Admin Settings'!J32</f>
        <v>0</v>
      </c>
      <c r="F44" s="363">
        <f>'Admin Settings'!J33</f>
        <v>0</v>
      </c>
      <c r="G44" s="198"/>
      <c r="H44" s="198"/>
      <c r="J44" s="57"/>
      <c r="K44" s="79"/>
      <c r="L44" s="57"/>
      <c r="M44" s="40"/>
      <c r="N44" s="842"/>
      <c r="O44" s="843" t="s">
        <v>879</v>
      </c>
      <c r="P44" s="363">
        <f>'Admin Settings'!J47</f>
        <v>0</v>
      </c>
      <c r="Q44" s="363">
        <f>'Admin Settings'!J48</f>
        <v>0</v>
      </c>
      <c r="R44" s="198"/>
      <c r="S44" s="198"/>
      <c r="Y44" s="682" t="s">
        <v>992</v>
      </c>
      <c r="Z44" s="49"/>
    </row>
    <row r="45" spans="1:46" s="489" customFormat="1">
      <c r="A45" s="57"/>
      <c r="B45" s="1018"/>
      <c r="C45" s="257"/>
      <c r="D45" s="34" t="s">
        <v>100</v>
      </c>
      <c r="E45" s="31"/>
      <c r="F45" s="31"/>
      <c r="G45" s="198"/>
      <c r="H45" s="198"/>
      <c r="J45" s="57"/>
      <c r="K45" s="79"/>
      <c r="L45" s="57"/>
      <c r="M45" s="40"/>
      <c r="N45" s="257"/>
      <c r="O45" s="34" t="s">
        <v>100</v>
      </c>
      <c r="P45" s="31"/>
      <c r="Q45" s="31"/>
      <c r="R45" s="198"/>
      <c r="S45" s="198"/>
      <c r="U45" s="682"/>
      <c r="V45" s="682"/>
      <c r="W45" s="682"/>
      <c r="X45" s="682"/>
      <c r="Y45" s="682" t="s">
        <v>993</v>
      </c>
      <c r="Z45" s="49"/>
      <c r="AA45" s="682"/>
      <c r="AB45" s="682"/>
      <c r="AC45" s="682"/>
      <c r="AD45" s="682"/>
      <c r="AE45" s="682"/>
      <c r="AF45" s="682"/>
      <c r="AG45" s="682"/>
      <c r="AH45" s="682"/>
      <c r="AI45" s="682"/>
      <c r="AJ45" s="682"/>
      <c r="AK45" s="682"/>
      <c r="AL45" s="682"/>
      <c r="AM45" s="682"/>
      <c r="AN45" s="682"/>
      <c r="AO45" s="682"/>
      <c r="AP45" s="682"/>
      <c r="AQ45" s="682"/>
      <c r="AR45" s="682"/>
      <c r="AS45" s="682"/>
      <c r="AT45" s="682"/>
    </row>
    <row r="46" spans="1:46" s="489" customFormat="1">
      <c r="A46" s="57"/>
      <c r="B46" s="1018"/>
      <c r="C46" s="257"/>
      <c r="D46" s="34" t="s">
        <v>156</v>
      </c>
      <c r="E46" s="365">
        <f>'Admin Settings'!N25</f>
        <v>0.4</v>
      </c>
      <c r="F46" s="97"/>
      <c r="G46" s="295"/>
      <c r="H46" s="30"/>
      <c r="J46" s="57"/>
      <c r="K46" s="79"/>
      <c r="L46" s="57"/>
      <c r="M46" s="40"/>
      <c r="N46" s="257"/>
      <c r="O46" s="34" t="s">
        <v>156</v>
      </c>
      <c r="P46" s="365">
        <f>'Admin Settings'!N38</f>
        <v>0.8</v>
      </c>
      <c r="Q46" s="97"/>
      <c r="R46" s="295"/>
      <c r="S46" s="30"/>
      <c r="U46" s="682"/>
      <c r="V46" s="682"/>
      <c r="W46" s="682"/>
      <c r="X46" s="682"/>
      <c r="Y46" s="682" t="s">
        <v>994</v>
      </c>
      <c r="Z46" s="682"/>
      <c r="AA46" s="682"/>
      <c r="AB46" s="682"/>
      <c r="AC46" s="682"/>
      <c r="AD46" s="682"/>
      <c r="AE46" s="682"/>
      <c r="AF46" s="682"/>
      <c r="AG46" s="682"/>
      <c r="AH46" s="682"/>
      <c r="AI46" s="682"/>
      <c r="AJ46" s="682"/>
      <c r="AK46" s="682"/>
      <c r="AL46" s="682"/>
      <c r="AM46" s="682"/>
      <c r="AN46" s="682"/>
      <c r="AO46" s="682"/>
      <c r="AP46" s="682"/>
      <c r="AQ46" s="682"/>
      <c r="AR46" s="682"/>
      <c r="AS46" s="682"/>
      <c r="AT46" s="682"/>
    </row>
    <row r="47" spans="1:46" s="489" customFormat="1">
      <c r="A47" s="57"/>
      <c r="B47" s="1018"/>
      <c r="C47" s="257"/>
      <c r="D47" s="34" t="s">
        <v>157</v>
      </c>
      <c r="E47" s="365">
        <f>'Admin Settings'!N26</f>
        <v>0.6</v>
      </c>
      <c r="F47" s="42"/>
      <c r="G47" s="295"/>
      <c r="H47" s="198"/>
      <c r="J47" s="57"/>
      <c r="K47" s="79"/>
      <c r="L47" s="57"/>
      <c r="M47" s="40"/>
      <c r="N47" s="257"/>
      <c r="O47" s="34" t="s">
        <v>157</v>
      </c>
      <c r="P47" s="365">
        <f>'Admin Settings'!N39</f>
        <v>0.2</v>
      </c>
      <c r="Q47" s="42"/>
      <c r="R47" s="295"/>
      <c r="S47" s="198"/>
      <c r="U47" s="682"/>
      <c r="V47" s="682"/>
      <c r="W47" s="682"/>
      <c r="X47" s="682"/>
      <c r="Y47" s="682" t="s">
        <v>995</v>
      </c>
      <c r="Z47" s="682"/>
      <c r="AA47" s="682"/>
      <c r="AB47" s="682"/>
      <c r="AC47" s="682"/>
      <c r="AD47" s="682"/>
      <c r="AE47" s="682"/>
      <c r="AF47" s="682"/>
      <c r="AG47" s="682"/>
      <c r="AH47" s="682"/>
      <c r="AI47" s="682"/>
      <c r="AJ47" s="682"/>
      <c r="AK47" s="682"/>
      <c r="AL47" s="682"/>
      <c r="AM47" s="682"/>
      <c r="AN47" s="682"/>
      <c r="AO47" s="682"/>
      <c r="AP47" s="682"/>
      <c r="AQ47" s="682"/>
      <c r="AR47" s="682"/>
      <c r="AS47" s="682"/>
      <c r="AT47" s="682"/>
    </row>
    <row r="48" spans="1:46" s="489" customFormat="1">
      <c r="A48" s="57"/>
      <c r="B48" s="1018"/>
      <c r="C48" s="257"/>
      <c r="D48" s="34"/>
      <c r="E48" s="34"/>
      <c r="F48" s="42"/>
      <c r="G48" s="295"/>
      <c r="H48" s="198"/>
      <c r="J48" s="57"/>
      <c r="K48" s="79"/>
      <c r="L48" s="57"/>
      <c r="M48" s="40"/>
      <c r="N48" s="257"/>
      <c r="O48" s="34"/>
      <c r="P48" s="34"/>
      <c r="Q48" s="42"/>
      <c r="R48" s="295"/>
      <c r="S48" s="198"/>
      <c r="U48" s="682"/>
      <c r="V48" s="682"/>
      <c r="W48" s="682"/>
      <c r="X48" s="682"/>
      <c r="Y48" s="682" t="s">
        <v>996</v>
      </c>
      <c r="Z48" s="682"/>
      <c r="AA48" s="682"/>
      <c r="AB48" s="682"/>
      <c r="AC48" s="682"/>
      <c r="AD48" s="682"/>
      <c r="AE48" s="682"/>
      <c r="AF48" s="682"/>
      <c r="AG48" s="682"/>
      <c r="AH48" s="682"/>
      <c r="AI48" s="682"/>
      <c r="AJ48" s="682"/>
      <c r="AK48" s="682"/>
      <c r="AL48" s="682"/>
      <c r="AM48" s="682"/>
      <c r="AN48" s="682"/>
      <c r="AO48" s="682"/>
      <c r="AP48" s="682"/>
      <c r="AQ48" s="682"/>
      <c r="AR48" s="682"/>
      <c r="AS48" s="682"/>
      <c r="AT48" s="682"/>
    </row>
    <row r="49" spans="1:46" s="489" customFormat="1">
      <c r="A49" s="57"/>
      <c r="B49" s="226"/>
      <c r="C49" s="226"/>
      <c r="D49" s="226" t="s">
        <v>259</v>
      </c>
      <c r="E49" s="226"/>
      <c r="F49" s="226"/>
      <c r="G49" s="226"/>
      <c r="H49" s="226"/>
      <c r="I49" s="226"/>
      <c r="J49" s="799"/>
      <c r="K49" s="226"/>
      <c r="L49" s="57"/>
      <c r="M49" s="777"/>
      <c r="N49" s="777"/>
      <c r="O49" s="777" t="s">
        <v>259</v>
      </c>
      <c r="P49" s="777"/>
      <c r="Q49" s="777"/>
      <c r="R49" s="777"/>
      <c r="S49" s="777"/>
      <c r="T49" s="777"/>
      <c r="U49" s="682"/>
      <c r="V49" s="682"/>
      <c r="W49" s="682"/>
      <c r="X49" s="682"/>
      <c r="Y49" s="682" t="s">
        <v>997</v>
      </c>
      <c r="Z49" s="682"/>
      <c r="AA49" s="682"/>
      <c r="AB49" s="682"/>
      <c r="AC49" s="682"/>
      <c r="AD49" s="682"/>
      <c r="AE49" s="682"/>
      <c r="AF49" s="682"/>
      <c r="AG49" s="682"/>
      <c r="AH49" s="682"/>
      <c r="AI49" s="682"/>
      <c r="AJ49" s="682"/>
      <c r="AK49" s="682"/>
      <c r="AL49" s="682"/>
      <c r="AM49" s="682"/>
      <c r="AN49" s="682"/>
      <c r="AO49" s="682"/>
      <c r="AP49" s="682"/>
      <c r="AQ49" s="682"/>
      <c r="AR49" s="682"/>
      <c r="AS49" s="682"/>
      <c r="AT49" s="682"/>
    </row>
    <row r="50" spans="1:46" s="489" customFormat="1">
      <c r="A50" s="57"/>
      <c r="B50" s="40"/>
      <c r="C50" s="257"/>
      <c r="D50" s="682"/>
      <c r="J50" s="57"/>
      <c r="K50" s="79"/>
      <c r="L50" s="57"/>
      <c r="M50" s="682"/>
      <c r="N50" s="257"/>
      <c r="O50" s="682"/>
      <c r="U50" s="682"/>
      <c r="V50" s="682"/>
      <c r="W50" s="682"/>
      <c r="X50" s="682"/>
      <c r="Y50" s="682" t="s">
        <v>998</v>
      </c>
      <c r="Z50" s="682"/>
      <c r="AA50" s="682"/>
      <c r="AB50" s="682"/>
      <c r="AC50" s="682"/>
      <c r="AD50" s="682"/>
      <c r="AE50" s="682"/>
      <c r="AF50" s="682"/>
      <c r="AG50" s="682"/>
      <c r="AH50" s="682"/>
      <c r="AI50" s="682"/>
      <c r="AJ50" s="682"/>
      <c r="AK50" s="682"/>
      <c r="AL50" s="682"/>
      <c r="AM50" s="682"/>
      <c r="AN50" s="682"/>
      <c r="AO50" s="682"/>
      <c r="AP50" s="682"/>
      <c r="AQ50" s="682"/>
      <c r="AR50" s="682"/>
      <c r="AS50" s="682"/>
      <c r="AT50" s="682"/>
    </row>
    <row r="51" spans="1:46" s="489" customFormat="1">
      <c r="A51" s="57"/>
      <c r="B51" s="40"/>
      <c r="C51" s="257"/>
      <c r="J51" s="57"/>
      <c r="K51" s="79"/>
      <c r="L51" s="57"/>
      <c r="M51" s="682"/>
      <c r="N51" s="257"/>
      <c r="U51" s="682"/>
      <c r="V51" s="682"/>
      <c r="W51" s="49"/>
      <c r="X51" s="682"/>
      <c r="Y51" s="682" t="s">
        <v>999</v>
      </c>
      <c r="Z51" s="682"/>
      <c r="AA51" s="682"/>
      <c r="AB51" s="682"/>
      <c r="AC51" s="682"/>
      <c r="AD51" s="682"/>
      <c r="AE51" s="682"/>
      <c r="AF51" s="682"/>
      <c r="AG51" s="682"/>
      <c r="AH51" s="682"/>
      <c r="AI51" s="682"/>
      <c r="AJ51" s="682"/>
      <c r="AK51" s="682"/>
      <c r="AL51" s="682"/>
      <c r="AM51" s="682"/>
      <c r="AN51" s="682"/>
      <c r="AO51" s="682"/>
      <c r="AP51" s="682"/>
      <c r="AQ51" s="682"/>
      <c r="AR51" s="682"/>
      <c r="AS51" s="682"/>
      <c r="AT51" s="682"/>
    </row>
    <row r="52" spans="1:46" s="492" customFormat="1">
      <c r="A52" s="193"/>
      <c r="B52" s="1011"/>
      <c r="C52" s="270"/>
      <c r="D52" s="271" t="s">
        <v>220</v>
      </c>
      <c r="E52" s="354"/>
      <c r="G52" s="229"/>
      <c r="H52" s="228"/>
      <c r="J52" s="193"/>
      <c r="K52" s="790"/>
      <c r="L52" s="57"/>
      <c r="M52" s="49"/>
      <c r="N52" s="270"/>
      <c r="O52" s="271" t="s">
        <v>220</v>
      </c>
      <c r="P52" s="354"/>
      <c r="R52" s="229"/>
      <c r="S52" s="228"/>
      <c r="U52" s="49"/>
      <c r="V52" s="49"/>
      <c r="W52" s="682"/>
      <c r="X52" s="682"/>
      <c r="Y52" s="682" t="s">
        <v>1000</v>
      </c>
      <c r="Z52" s="682"/>
      <c r="AA52" s="49"/>
      <c r="AB52" s="49"/>
      <c r="AC52" s="49"/>
      <c r="AD52" s="49"/>
      <c r="AE52" s="49"/>
      <c r="AF52" s="49"/>
      <c r="AG52" s="49"/>
      <c r="AH52" s="49"/>
      <c r="AI52" s="49"/>
      <c r="AJ52" s="49"/>
      <c r="AK52" s="49"/>
      <c r="AL52" s="49"/>
      <c r="AM52" s="49"/>
      <c r="AN52" s="49"/>
      <c r="AO52" s="49"/>
      <c r="AP52" s="49"/>
      <c r="AQ52" s="49"/>
      <c r="AR52" s="49"/>
      <c r="AS52" s="49"/>
      <c r="AT52" s="49"/>
    </row>
    <row r="53" spans="1:46" s="492" customFormat="1">
      <c r="A53" s="193"/>
      <c r="B53" s="1011"/>
      <c r="C53" s="270"/>
      <c r="D53" s="272" t="s">
        <v>401</v>
      </c>
      <c r="E53" s="1015"/>
      <c r="F53" s="1015"/>
      <c r="G53" s="228"/>
      <c r="H53" s="228"/>
      <c r="J53" s="193"/>
      <c r="K53" s="790"/>
      <c r="L53" s="57"/>
      <c r="M53" s="49"/>
      <c r="N53" s="270"/>
      <c r="O53" s="272" t="s">
        <v>401</v>
      </c>
      <c r="P53" s="1013"/>
      <c r="Q53" s="1013"/>
      <c r="R53" s="228"/>
      <c r="S53" s="228"/>
      <c r="U53" s="49"/>
      <c r="V53" s="49"/>
      <c r="W53" s="682"/>
      <c r="X53" s="682"/>
      <c r="Y53" s="682" t="s">
        <v>1001</v>
      </c>
      <c r="Z53" s="682"/>
      <c r="AA53" s="49"/>
      <c r="AB53" s="49"/>
      <c r="AC53" s="49"/>
      <c r="AD53" s="49"/>
      <c r="AE53" s="49"/>
      <c r="AF53" s="49"/>
      <c r="AG53" s="49"/>
      <c r="AH53" s="49"/>
      <c r="AI53" s="49"/>
      <c r="AJ53" s="49"/>
      <c r="AK53" s="49"/>
      <c r="AL53" s="49"/>
      <c r="AM53" s="49"/>
      <c r="AN53" s="49"/>
      <c r="AO53" s="49"/>
      <c r="AP53" s="49"/>
      <c r="AQ53" s="49"/>
      <c r="AR53" s="49"/>
      <c r="AS53" s="49"/>
      <c r="AT53" s="49"/>
    </row>
    <row r="54" spans="1:46" s="492" customFormat="1">
      <c r="A54" s="193"/>
      <c r="B54" s="1011"/>
      <c r="C54" s="270"/>
      <c r="D54" s="84" t="s">
        <v>486</v>
      </c>
      <c r="E54" s="1245" t="str">
        <f>IF('Admin Settings'!I86="Regular income","Regular",IF('Admin Settings'!I86="Flexible income","Flexible","Enhanced"))</f>
        <v>Regular</v>
      </c>
      <c r="F54" s="1245" t="str">
        <f>IF('Admin Settings'!I87="Regular income","Regular",IF('Admin Settings'!I87="Flexible income","Flexible","Enhanced"))</f>
        <v>Regular</v>
      </c>
      <c r="G54" s="228"/>
      <c r="H54" s="228"/>
      <c r="J54" s="193"/>
      <c r="K54" s="790"/>
      <c r="L54" s="57"/>
      <c r="M54" s="49"/>
      <c r="N54" s="270"/>
      <c r="O54" s="84" t="s">
        <v>486</v>
      </c>
      <c r="P54" s="1245" t="str">
        <f>IF('Admin Settings'!I86="Regular income","Regular",IF('Admin Settings'!I86="Flexible income","Flexible","Enhanced"))</f>
        <v>Regular</v>
      </c>
      <c r="Q54" s="1245" t="str">
        <f>IF('Admin Settings'!I87="Regular income","Regular",IF('Admin Settings'!I87="Flexible income","Flexible","Enhanced"))</f>
        <v>Regular</v>
      </c>
      <c r="R54" s="228"/>
      <c r="S54" s="228"/>
      <c r="U54" s="49"/>
      <c r="V54" s="49"/>
      <c r="W54" s="49"/>
      <c r="X54" s="682"/>
      <c r="Y54" s="682" t="s">
        <v>1002</v>
      </c>
      <c r="Z54" s="682"/>
      <c r="AA54" s="49"/>
      <c r="AB54" s="49"/>
      <c r="AC54" s="49"/>
      <c r="AD54" s="49"/>
      <c r="AE54" s="49"/>
      <c r="AF54" s="49"/>
      <c r="AG54" s="49"/>
      <c r="AH54" s="49"/>
      <c r="AI54" s="49"/>
      <c r="AJ54" s="49"/>
      <c r="AK54" s="49"/>
      <c r="AL54" s="49"/>
      <c r="AM54" s="49"/>
      <c r="AN54" s="49"/>
      <c r="AO54" s="49"/>
      <c r="AP54" s="49"/>
      <c r="AQ54" s="49"/>
      <c r="AR54" s="49"/>
      <c r="AS54" s="49"/>
      <c r="AT54" s="49"/>
    </row>
    <row r="55" spans="1:46" s="492" customFormat="1">
      <c r="A55" s="193"/>
      <c r="B55" s="1011"/>
      <c r="C55" s="270"/>
      <c r="D55" s="84" t="s">
        <v>267</v>
      </c>
      <c r="E55" s="383">
        <f ca="1">'Admin Settings'!T86</f>
        <v>0</v>
      </c>
      <c r="F55" s="383">
        <f ca="1">'Admin Settings'!T87</f>
        <v>0</v>
      </c>
      <c r="G55" s="228"/>
      <c r="H55" s="228"/>
      <c r="J55" s="193"/>
      <c r="K55" s="790"/>
      <c r="L55" s="57"/>
      <c r="M55" s="49"/>
      <c r="N55" s="270"/>
      <c r="O55" s="84" t="s">
        <v>267</v>
      </c>
      <c r="P55" s="383">
        <f ca="1">'Admin Settings'!X86</f>
        <v>5000.04</v>
      </c>
      <c r="Q55" s="383">
        <f ca="1">'Admin Settings'!X87</f>
        <v>3750.03</v>
      </c>
      <c r="R55" s="228"/>
      <c r="S55" s="228"/>
      <c r="U55" s="49"/>
      <c r="V55" s="49"/>
      <c r="W55" s="682"/>
      <c r="X55" s="682"/>
      <c r="Y55" s="682" t="s">
        <v>1003</v>
      </c>
      <c r="Z55" s="49"/>
      <c r="AA55" s="49"/>
      <c r="AB55" s="49"/>
      <c r="AC55" s="49"/>
      <c r="AD55" s="49"/>
      <c r="AE55" s="49"/>
      <c r="AF55" s="49"/>
      <c r="AG55" s="49"/>
      <c r="AH55" s="49"/>
      <c r="AI55" s="49"/>
      <c r="AJ55" s="49"/>
      <c r="AK55" s="49"/>
      <c r="AL55" s="49"/>
      <c r="AM55" s="49"/>
      <c r="AN55" s="49"/>
      <c r="AO55" s="49"/>
      <c r="AP55" s="49"/>
      <c r="AQ55" s="49"/>
      <c r="AR55" s="49"/>
      <c r="AS55" s="49"/>
      <c r="AT55" s="49"/>
    </row>
    <row r="56" spans="1:46" s="489" customFormat="1">
      <c r="A56" s="57"/>
      <c r="B56" s="40"/>
      <c r="C56" s="257"/>
      <c r="D56" s="34" t="s">
        <v>160</v>
      </c>
      <c r="E56" s="1247" t="str">
        <f>'Admin Settings'!O86</f>
        <v>Monthly</v>
      </c>
      <c r="F56" s="1247" t="str">
        <f>'Admin Settings'!O87</f>
        <v>Monthly</v>
      </c>
      <c r="G56" s="355"/>
      <c r="H56" s="198"/>
      <c r="J56" s="57"/>
      <c r="K56" s="79"/>
      <c r="L56" s="57"/>
      <c r="M56" s="682"/>
      <c r="N56" s="257"/>
      <c r="O56" s="34" t="s">
        <v>160</v>
      </c>
      <c r="P56" s="1247" t="str">
        <f>'Admin Settings'!O86</f>
        <v>Monthly</v>
      </c>
      <c r="Q56" s="1247" t="str">
        <f>'Admin Settings'!O87</f>
        <v>Monthly</v>
      </c>
      <c r="R56" s="355"/>
      <c r="S56" s="198"/>
      <c r="U56" s="682"/>
      <c r="V56" s="682"/>
      <c r="W56" s="682"/>
      <c r="X56" s="682"/>
      <c r="Y56" s="682" t="s">
        <v>1004</v>
      </c>
      <c r="Z56" s="49"/>
      <c r="AA56" s="682"/>
      <c r="AB56" s="682"/>
      <c r="AC56" s="682"/>
      <c r="AD56" s="682"/>
      <c r="AE56" s="682"/>
      <c r="AF56" s="682"/>
      <c r="AG56" s="682"/>
      <c r="AH56" s="682"/>
      <c r="AI56" s="682"/>
      <c r="AJ56" s="682"/>
      <c r="AK56" s="682"/>
      <c r="AL56" s="682"/>
      <c r="AM56" s="682"/>
      <c r="AN56" s="682"/>
      <c r="AO56" s="682"/>
      <c r="AP56" s="682"/>
      <c r="AQ56" s="682"/>
      <c r="AR56" s="682"/>
      <c r="AS56" s="682"/>
      <c r="AT56" s="682"/>
    </row>
    <row r="57" spans="1:46" s="489" customFormat="1">
      <c r="A57" s="57"/>
      <c r="B57" s="40"/>
      <c r="C57" s="257"/>
      <c r="D57" s="34" t="s">
        <v>92</v>
      </c>
      <c r="E57" s="1248">
        <f>'Admin Settings'!L86</f>
        <v>0</v>
      </c>
      <c r="F57" s="1248">
        <f>'Admin Settings'!L87</f>
        <v>0</v>
      </c>
      <c r="G57" s="355"/>
      <c r="H57" s="198"/>
      <c r="J57" s="57"/>
      <c r="K57" s="79"/>
      <c r="L57" s="57"/>
      <c r="M57" s="682"/>
      <c r="N57" s="257"/>
      <c r="O57" s="34" t="s">
        <v>92</v>
      </c>
      <c r="P57" s="1248">
        <f>'Admin Settings'!L86</f>
        <v>0</v>
      </c>
      <c r="Q57" s="1248">
        <f>'Admin Settings'!L87</f>
        <v>0</v>
      </c>
      <c r="R57" s="355"/>
      <c r="S57" s="198"/>
      <c r="U57" s="682"/>
      <c r="V57" s="682"/>
      <c r="W57" s="682"/>
      <c r="X57" s="682"/>
      <c r="Y57" s="682" t="s">
        <v>1005</v>
      </c>
      <c r="Z57" s="49"/>
      <c r="AA57" s="682"/>
      <c r="AB57" s="682"/>
      <c r="AC57" s="682"/>
      <c r="AD57" s="682"/>
      <c r="AE57" s="682"/>
      <c r="AF57" s="682"/>
      <c r="AG57" s="682"/>
      <c r="AH57" s="682"/>
      <c r="AI57" s="682"/>
      <c r="AJ57" s="682"/>
      <c r="AK57" s="682"/>
      <c r="AL57" s="682"/>
      <c r="AM57" s="682"/>
      <c r="AN57" s="682"/>
      <c r="AO57" s="682"/>
      <c r="AP57" s="682"/>
      <c r="AQ57" s="682"/>
      <c r="AR57" s="682"/>
      <c r="AS57" s="682"/>
      <c r="AT57" s="682"/>
    </row>
    <row r="58" spans="1:46" s="489" customFormat="1">
      <c r="A58" s="57"/>
      <c r="B58" s="40"/>
      <c r="C58" s="257"/>
      <c r="D58" s="34" t="s">
        <v>490</v>
      </c>
      <c r="E58" s="1249">
        <f>'Admin Settings'!J86</f>
        <v>15</v>
      </c>
      <c r="F58" s="1249">
        <f>'Admin Settings'!J87</f>
        <v>15</v>
      </c>
      <c r="G58" s="355"/>
      <c r="H58" s="198"/>
      <c r="J58" s="57"/>
      <c r="K58" s="79"/>
      <c r="L58" s="57"/>
      <c r="M58" s="682"/>
      <c r="N58" s="257"/>
      <c r="O58" s="34" t="s">
        <v>490</v>
      </c>
      <c r="P58" s="1249">
        <f>'Admin Settings'!J86</f>
        <v>15</v>
      </c>
      <c r="Q58" s="1249">
        <f>'Admin Settings'!J87</f>
        <v>15</v>
      </c>
      <c r="R58" s="355"/>
      <c r="S58" s="198"/>
      <c r="U58" s="682"/>
      <c r="V58" s="682"/>
      <c r="W58" s="682"/>
      <c r="X58" s="682"/>
      <c r="Y58" s="682" t="s">
        <v>1006</v>
      </c>
      <c r="Z58" s="682"/>
      <c r="AA58" s="682"/>
      <c r="AB58" s="682"/>
      <c r="AC58" s="682"/>
      <c r="AD58" s="682"/>
      <c r="AE58" s="682"/>
      <c r="AF58" s="682"/>
      <c r="AG58" s="682"/>
      <c r="AH58" s="682"/>
      <c r="AI58" s="682"/>
      <c r="AJ58" s="682"/>
      <c r="AK58" s="682"/>
      <c r="AL58" s="682"/>
      <c r="AM58" s="682"/>
      <c r="AN58" s="682"/>
      <c r="AO58" s="682"/>
      <c r="AP58" s="682"/>
      <c r="AQ58" s="682"/>
      <c r="AR58" s="682"/>
      <c r="AS58" s="682"/>
      <c r="AT58" s="682"/>
    </row>
    <row r="59" spans="1:46" s="489" customFormat="1">
      <c r="A59" s="57"/>
      <c r="B59" s="40"/>
      <c r="C59" s="257"/>
      <c r="D59" s="34" t="s">
        <v>161</v>
      </c>
      <c r="E59" s="1250">
        <f ca="1">'Admin Settings'!K86</f>
        <v>0.75</v>
      </c>
      <c r="F59" s="1250">
        <f ca="1">'Admin Settings'!K87</f>
        <v>0.75</v>
      </c>
      <c r="G59" s="198"/>
      <c r="H59" s="198"/>
      <c r="J59" s="57"/>
      <c r="K59" s="79"/>
      <c r="L59" s="57"/>
      <c r="M59" s="682"/>
      <c r="N59" s="257"/>
      <c r="O59" s="34" t="s">
        <v>161</v>
      </c>
      <c r="P59" s="1250">
        <f ca="1">'Admin Settings'!K86</f>
        <v>0.75</v>
      </c>
      <c r="Q59" s="1250">
        <f ca="1">'Admin Settings'!K87</f>
        <v>0.75</v>
      </c>
      <c r="R59" s="198"/>
      <c r="S59" s="198"/>
      <c r="U59" s="682"/>
      <c r="V59" s="682"/>
      <c r="W59" s="682"/>
      <c r="X59" s="682"/>
      <c r="Y59" s="682" t="s">
        <v>1007</v>
      </c>
      <c r="Z59" s="682"/>
      <c r="AA59" s="682"/>
      <c r="AB59" s="682"/>
      <c r="AC59" s="682"/>
      <c r="AD59" s="682"/>
      <c r="AE59" s="682"/>
      <c r="AF59" s="682"/>
      <c r="AG59" s="682"/>
      <c r="AH59" s="682"/>
      <c r="AI59" s="682"/>
      <c r="AJ59" s="682"/>
      <c r="AK59" s="682"/>
      <c r="AL59" s="682"/>
      <c r="AM59" s="682"/>
      <c r="AN59" s="682"/>
      <c r="AO59" s="682"/>
      <c r="AP59" s="682"/>
      <c r="AQ59" s="682"/>
      <c r="AR59" s="682"/>
      <c r="AS59" s="682"/>
      <c r="AT59" s="682"/>
    </row>
    <row r="60" spans="1:46" s="489" customFormat="1">
      <c r="A60" s="57"/>
      <c r="B60" s="40"/>
      <c r="C60" s="257"/>
      <c r="D60" s="34" t="s">
        <v>317</v>
      </c>
      <c r="E60" s="363">
        <f>'Admin Settings'!R86</f>
        <v>0</v>
      </c>
      <c r="F60" s="363">
        <f>'Admin Settings'!R87</f>
        <v>0</v>
      </c>
      <c r="G60" s="355"/>
      <c r="H60" s="198"/>
      <c r="J60" s="57"/>
      <c r="K60" s="79"/>
      <c r="L60" s="57"/>
      <c r="M60" s="682"/>
      <c r="N60" s="257"/>
      <c r="O60" s="34" t="s">
        <v>317</v>
      </c>
      <c r="P60" s="363">
        <f>'Admin Settings'!V86</f>
        <v>100000</v>
      </c>
      <c r="Q60" s="363">
        <f>'Admin Settings'!V87</f>
        <v>75000</v>
      </c>
      <c r="R60" s="355"/>
      <c r="S60" s="198"/>
      <c r="U60" s="682"/>
      <c r="V60" s="682"/>
      <c r="W60" s="682"/>
      <c r="X60" s="682"/>
      <c r="Y60" s="682" t="s">
        <v>1008</v>
      </c>
      <c r="Z60" s="682"/>
      <c r="AA60" s="682"/>
      <c r="AB60" s="682"/>
      <c r="AC60" s="682"/>
      <c r="AD60" s="682"/>
      <c r="AE60" s="682"/>
      <c r="AF60" s="682"/>
      <c r="AG60" s="682"/>
      <c r="AH60" s="682"/>
      <c r="AI60" s="682"/>
      <c r="AJ60" s="682"/>
      <c r="AK60" s="682"/>
      <c r="AL60" s="682"/>
      <c r="AM60" s="682"/>
      <c r="AN60" s="682"/>
      <c r="AO60" s="682"/>
      <c r="AP60" s="682"/>
      <c r="AQ60" s="682"/>
      <c r="AR60" s="682"/>
      <c r="AS60" s="682"/>
      <c r="AT60" s="682"/>
    </row>
    <row r="61" spans="1:46" s="489" customFormat="1">
      <c r="A61" s="57"/>
      <c r="B61" s="40"/>
      <c r="C61" s="257"/>
      <c r="D61" s="34" t="s">
        <v>54</v>
      </c>
      <c r="E61" s="981" t="str">
        <f>'Admin Settings'!H86</f>
        <v>No</v>
      </c>
      <c r="F61" s="981" t="str">
        <f>'Admin Settings'!H87</f>
        <v>No</v>
      </c>
      <c r="G61" s="228"/>
      <c r="H61" s="198"/>
      <c r="J61" s="57"/>
      <c r="K61" s="79"/>
      <c r="L61" s="57"/>
      <c r="M61" s="682"/>
      <c r="N61" s="257"/>
      <c r="O61" s="34" t="s">
        <v>54</v>
      </c>
      <c r="P61" s="981" t="str">
        <f>'Admin Settings'!H86</f>
        <v>No</v>
      </c>
      <c r="Q61" s="981" t="str">
        <f>'Admin Settings'!H87</f>
        <v>No</v>
      </c>
      <c r="R61" s="228"/>
      <c r="S61" s="198"/>
      <c r="U61" s="682"/>
      <c r="V61" s="682"/>
      <c r="W61" s="682"/>
      <c r="X61" s="682"/>
      <c r="Y61" s="682" t="s">
        <v>1009</v>
      </c>
      <c r="Z61" s="682"/>
      <c r="AA61" s="682"/>
      <c r="AB61" s="682"/>
      <c r="AC61" s="682"/>
      <c r="AD61" s="682"/>
      <c r="AE61" s="682"/>
      <c r="AF61" s="682"/>
      <c r="AG61" s="682"/>
      <c r="AH61" s="682"/>
      <c r="AI61" s="682"/>
      <c r="AJ61" s="682"/>
      <c r="AK61" s="682"/>
      <c r="AL61" s="682"/>
      <c r="AM61" s="682"/>
      <c r="AN61" s="682"/>
      <c r="AO61" s="682"/>
      <c r="AP61" s="682"/>
      <c r="AQ61" s="682"/>
      <c r="AR61" s="682"/>
      <c r="AS61" s="682"/>
      <c r="AT61" s="682"/>
    </row>
    <row r="62" spans="1:46" s="489" customFormat="1">
      <c r="A62" s="57"/>
      <c r="B62" s="40"/>
      <c r="C62" s="257"/>
      <c r="D62" s="34" t="s">
        <v>225</v>
      </c>
      <c r="E62" s="1251">
        <f>'Admin Settings'!M86</f>
        <v>2.1999999999999999E-2</v>
      </c>
      <c r="F62" s="1251">
        <f>'Admin Settings'!M87</f>
        <v>2.1999999999999999E-2</v>
      </c>
      <c r="G62" s="228"/>
      <c r="H62" s="198"/>
      <c r="J62" s="57"/>
      <c r="K62" s="79"/>
      <c r="L62" s="57"/>
      <c r="M62" s="682"/>
      <c r="N62" s="257"/>
      <c r="O62" s="34" t="s">
        <v>225</v>
      </c>
      <c r="P62" s="1251">
        <f>'Admin Settings'!M86</f>
        <v>2.1999999999999999E-2</v>
      </c>
      <c r="Q62" s="1251">
        <f>'Admin Settings'!M87</f>
        <v>2.1999999999999999E-2</v>
      </c>
      <c r="R62" s="228"/>
      <c r="S62" s="198"/>
      <c r="U62" s="682"/>
      <c r="V62" s="682"/>
      <c r="W62" s="682"/>
      <c r="X62" s="682"/>
      <c r="Y62" s="682" t="s">
        <v>1010</v>
      </c>
      <c r="Z62" s="682"/>
      <c r="AA62" s="682"/>
      <c r="AB62" s="682"/>
      <c r="AC62" s="682"/>
      <c r="AD62" s="682"/>
      <c r="AE62" s="682"/>
      <c r="AF62" s="682"/>
      <c r="AG62" s="682"/>
      <c r="AH62" s="682"/>
      <c r="AI62" s="682"/>
      <c r="AJ62" s="682"/>
      <c r="AK62" s="682"/>
      <c r="AL62" s="682"/>
      <c r="AM62" s="682"/>
      <c r="AN62" s="682"/>
      <c r="AO62" s="682"/>
      <c r="AP62" s="682"/>
      <c r="AQ62" s="682"/>
      <c r="AR62" s="682"/>
      <c r="AS62" s="682"/>
      <c r="AT62" s="682"/>
    </row>
    <row r="63" spans="1:46" s="489" customFormat="1">
      <c r="A63" s="57"/>
      <c r="B63" s="40"/>
      <c r="C63" s="257"/>
      <c r="D63" s="34" t="s">
        <v>186</v>
      </c>
      <c r="E63" s="1252">
        <f>'Admin Settings'!N86</f>
        <v>0</v>
      </c>
      <c r="F63" s="1252">
        <f>'Admin Settings'!N87</f>
        <v>0</v>
      </c>
      <c r="G63" s="198"/>
      <c r="H63" s="198"/>
      <c r="J63" s="57"/>
      <c r="K63" s="79"/>
      <c r="L63" s="57"/>
      <c r="M63" s="682"/>
      <c r="N63" s="257"/>
      <c r="O63" s="34" t="s">
        <v>186</v>
      </c>
      <c r="P63" s="1252">
        <f>'Admin Settings'!N86</f>
        <v>0</v>
      </c>
      <c r="Q63" s="1252">
        <f>'Admin Settings'!N87</f>
        <v>0</v>
      </c>
      <c r="R63" s="198"/>
      <c r="S63" s="198"/>
      <c r="U63" s="682"/>
      <c r="V63" s="682"/>
      <c r="W63" s="682"/>
      <c r="X63" s="682"/>
      <c r="Y63" s="682" t="s">
        <v>1011</v>
      </c>
      <c r="Z63" s="682"/>
      <c r="AA63" s="682"/>
      <c r="AB63" s="682"/>
      <c r="AC63" s="682"/>
      <c r="AD63" s="682"/>
      <c r="AE63" s="682"/>
      <c r="AF63" s="682"/>
      <c r="AG63" s="682"/>
      <c r="AH63" s="682"/>
      <c r="AI63" s="682"/>
      <c r="AJ63" s="682"/>
      <c r="AK63" s="682"/>
      <c r="AL63" s="682"/>
      <c r="AM63" s="682"/>
      <c r="AN63" s="682"/>
      <c r="AO63" s="682"/>
      <c r="AP63" s="682"/>
      <c r="AQ63" s="682"/>
      <c r="AR63" s="682"/>
      <c r="AS63" s="682"/>
      <c r="AT63" s="682"/>
    </row>
    <row r="64" spans="1:46" s="489" customFormat="1">
      <c r="A64" s="57"/>
      <c r="B64" s="57"/>
      <c r="C64" s="257"/>
      <c r="D64" s="34"/>
      <c r="E64" s="34"/>
      <c r="F64" s="34"/>
      <c r="G64" s="34"/>
      <c r="H64" s="198"/>
      <c r="J64" s="57"/>
      <c r="K64" s="79"/>
      <c r="L64" s="57"/>
      <c r="M64" s="682"/>
      <c r="N64" s="257"/>
      <c r="O64" s="34"/>
      <c r="P64" s="34"/>
      <c r="Q64" s="34"/>
      <c r="R64" s="34"/>
      <c r="S64" s="198"/>
      <c r="U64" s="682"/>
      <c r="V64" s="682"/>
      <c r="W64" s="682"/>
      <c r="X64" s="682"/>
      <c r="Y64" s="682" t="s">
        <v>1012</v>
      </c>
      <c r="Z64" s="682"/>
      <c r="AA64" s="682"/>
      <c r="AB64" s="682"/>
      <c r="AC64" s="682"/>
      <c r="AD64" s="682"/>
      <c r="AE64" s="682"/>
      <c r="AF64" s="682"/>
      <c r="AG64" s="682"/>
      <c r="AH64" s="682"/>
      <c r="AI64" s="682"/>
      <c r="AJ64" s="682"/>
      <c r="AK64" s="682"/>
      <c r="AL64" s="682"/>
      <c r="AM64" s="682"/>
      <c r="AN64" s="682"/>
      <c r="AO64" s="682"/>
      <c r="AP64" s="682"/>
      <c r="AQ64" s="682"/>
      <c r="AR64" s="682"/>
      <c r="AS64" s="682"/>
      <c r="AT64" s="682"/>
    </row>
    <row r="65" spans="1:46" s="492" customFormat="1">
      <c r="A65" s="193"/>
      <c r="B65" s="193"/>
      <c r="C65" s="270"/>
      <c r="D65" s="271" t="s">
        <v>487</v>
      </c>
      <c r="E65" s="271"/>
      <c r="G65" s="229"/>
      <c r="H65" s="228"/>
      <c r="J65" s="193"/>
      <c r="K65" s="790"/>
      <c r="L65" s="193"/>
      <c r="M65" s="49"/>
      <c r="N65" s="270"/>
      <c r="O65" s="271" t="s">
        <v>487</v>
      </c>
      <c r="P65" s="271"/>
      <c r="R65" s="229"/>
      <c r="S65" s="228"/>
      <c r="U65" s="49"/>
      <c r="V65" s="49"/>
      <c r="W65" s="682"/>
      <c r="X65" s="682"/>
      <c r="Y65" s="682" t="s">
        <v>1013</v>
      </c>
      <c r="Z65" s="682"/>
      <c r="AA65" s="49"/>
      <c r="AB65" s="49"/>
      <c r="AC65" s="49"/>
      <c r="AD65" s="49"/>
      <c r="AE65" s="49"/>
      <c r="AF65" s="49"/>
      <c r="AG65" s="49"/>
      <c r="AH65" s="49"/>
      <c r="AI65" s="49"/>
      <c r="AJ65" s="49"/>
      <c r="AK65" s="49"/>
      <c r="AL65" s="49"/>
      <c r="AM65" s="49"/>
      <c r="AN65" s="49"/>
      <c r="AO65" s="49"/>
      <c r="AP65" s="49"/>
      <c r="AQ65" s="49"/>
      <c r="AR65" s="49"/>
      <c r="AS65" s="49"/>
      <c r="AT65" s="49"/>
    </row>
    <row r="66" spans="1:46" s="492" customFormat="1">
      <c r="A66" s="193"/>
      <c r="B66" s="193"/>
      <c r="C66" s="270"/>
      <c r="D66" s="272" t="s">
        <v>402</v>
      </c>
      <c r="E66" s="1015"/>
      <c r="F66" s="1015"/>
      <c r="G66" s="228"/>
      <c r="H66" s="228"/>
      <c r="J66" s="193"/>
      <c r="K66" s="790"/>
      <c r="L66" s="193"/>
      <c r="M66" s="49"/>
      <c r="N66" s="270"/>
      <c r="O66" s="272" t="s">
        <v>402</v>
      </c>
      <c r="P66" s="1015"/>
      <c r="Q66" s="1015"/>
      <c r="R66" s="228"/>
      <c r="S66" s="228"/>
      <c r="U66" s="49"/>
      <c r="V66" s="49"/>
      <c r="W66" s="682"/>
      <c r="X66" s="682"/>
      <c r="Y66" s="682" t="s">
        <v>1089</v>
      </c>
      <c r="Z66" s="682"/>
      <c r="AA66" s="49"/>
      <c r="AB66" s="49"/>
      <c r="AC66" s="49"/>
      <c r="AD66" s="49"/>
      <c r="AE66" s="49"/>
      <c r="AF66" s="49"/>
      <c r="AG66" s="49"/>
      <c r="AH66" s="49"/>
      <c r="AI66" s="49"/>
      <c r="AJ66" s="49"/>
      <c r="AK66" s="49"/>
      <c r="AL66" s="49"/>
      <c r="AM66" s="49"/>
      <c r="AN66" s="49"/>
      <c r="AO66" s="49"/>
      <c r="AP66" s="49"/>
      <c r="AQ66" s="49"/>
      <c r="AR66" s="49"/>
      <c r="AS66" s="49"/>
      <c r="AT66" s="49"/>
    </row>
    <row r="67" spans="1:46" s="492" customFormat="1">
      <c r="A67" s="193"/>
      <c r="B67" s="193"/>
      <c r="C67" s="270"/>
      <c r="D67" s="84" t="s">
        <v>267</v>
      </c>
      <c r="E67" s="1005">
        <v>0</v>
      </c>
      <c r="F67" s="1005">
        <v>0</v>
      </c>
      <c r="G67" s="228"/>
      <c r="H67" s="228"/>
      <c r="J67" s="193"/>
      <c r="K67" s="790"/>
      <c r="L67" s="193"/>
      <c r="M67" s="49"/>
      <c r="N67" s="270"/>
      <c r="O67" s="84" t="s">
        <v>267</v>
      </c>
      <c r="P67" s="1005">
        <v>0</v>
      </c>
      <c r="Q67" s="1005">
        <v>0</v>
      </c>
      <c r="R67" s="228"/>
      <c r="S67" s="228"/>
      <c r="U67" s="49"/>
      <c r="V67" s="49"/>
      <c r="W67" s="682"/>
      <c r="X67" s="682"/>
      <c r="Y67" s="682" t="s">
        <v>1014</v>
      </c>
      <c r="Z67" s="682"/>
      <c r="AA67" s="49"/>
      <c r="AB67" s="49"/>
      <c r="AC67" s="49"/>
      <c r="AD67" s="49"/>
      <c r="AE67" s="49"/>
      <c r="AF67" s="49"/>
      <c r="AG67" s="49"/>
      <c r="AH67" s="49"/>
      <c r="AI67" s="49"/>
      <c r="AJ67" s="49"/>
      <c r="AK67" s="49"/>
      <c r="AL67" s="49"/>
      <c r="AM67" s="49"/>
      <c r="AN67" s="49"/>
      <c r="AO67" s="49"/>
      <c r="AP67" s="49"/>
      <c r="AQ67" s="49"/>
      <c r="AR67" s="49"/>
      <c r="AS67" s="49"/>
      <c r="AT67" s="49"/>
    </row>
    <row r="68" spans="1:46" s="489" customFormat="1">
      <c r="A68" s="57"/>
      <c r="B68" s="57"/>
      <c r="C68" s="257"/>
      <c r="D68" s="34" t="s">
        <v>160</v>
      </c>
      <c r="E68" s="1006" t="s">
        <v>417</v>
      </c>
      <c r="F68" s="1006" t="s">
        <v>417</v>
      </c>
      <c r="G68" s="355"/>
      <c r="H68" s="198"/>
      <c r="J68" s="57"/>
      <c r="K68" s="79"/>
      <c r="L68" s="57"/>
      <c r="M68" s="682"/>
      <c r="N68" s="257"/>
      <c r="O68" s="34" t="s">
        <v>160</v>
      </c>
      <c r="P68" s="1006" t="s">
        <v>417</v>
      </c>
      <c r="Q68" s="1006" t="s">
        <v>417</v>
      </c>
      <c r="R68" s="355"/>
      <c r="S68" s="198"/>
      <c r="U68" s="682"/>
      <c r="V68" s="682"/>
      <c r="W68" s="682"/>
      <c r="X68" s="682"/>
      <c r="Y68" s="682" t="s">
        <v>1015</v>
      </c>
      <c r="Z68" s="682"/>
      <c r="AA68" s="682"/>
      <c r="AB68" s="682"/>
      <c r="AC68" s="682"/>
      <c r="AD68" s="682"/>
      <c r="AE68" s="682"/>
      <c r="AF68" s="682"/>
      <c r="AG68" s="682"/>
      <c r="AH68" s="682"/>
      <c r="AI68" s="682"/>
      <c r="AJ68" s="682"/>
      <c r="AK68" s="682"/>
      <c r="AL68" s="682"/>
      <c r="AM68" s="682"/>
      <c r="AN68" s="682"/>
      <c r="AO68" s="682"/>
      <c r="AP68" s="682"/>
      <c r="AQ68" s="682"/>
      <c r="AR68" s="682"/>
      <c r="AS68" s="682"/>
      <c r="AT68" s="682"/>
    </row>
    <row r="69" spans="1:46" s="489" customFormat="1">
      <c r="A69" s="57"/>
      <c r="B69" s="57"/>
      <c r="C69" s="257"/>
      <c r="D69" s="34" t="s">
        <v>92</v>
      </c>
      <c r="E69" s="854">
        <v>0</v>
      </c>
      <c r="F69" s="854">
        <v>0</v>
      </c>
      <c r="G69" s="355"/>
      <c r="H69" s="198"/>
      <c r="J69" s="57"/>
      <c r="K69" s="79"/>
      <c r="L69" s="57"/>
      <c r="M69" s="682"/>
      <c r="N69" s="257"/>
      <c r="O69" s="34" t="s">
        <v>92</v>
      </c>
      <c r="P69" s="854">
        <v>0</v>
      </c>
      <c r="Q69" s="854">
        <v>0</v>
      </c>
      <c r="R69" s="355"/>
      <c r="S69" s="198"/>
      <c r="U69" s="682"/>
      <c r="V69" s="682"/>
      <c r="W69" s="682"/>
      <c r="X69" s="682"/>
      <c r="Y69" s="682" t="s">
        <v>1016</v>
      </c>
      <c r="Z69" s="682"/>
      <c r="AA69" s="682"/>
      <c r="AB69" s="682"/>
      <c r="AC69" s="682"/>
      <c r="AD69" s="682"/>
      <c r="AE69" s="682"/>
      <c r="AF69" s="682"/>
      <c r="AG69" s="682"/>
      <c r="AH69" s="682"/>
      <c r="AI69" s="682"/>
      <c r="AJ69" s="682"/>
      <c r="AK69" s="682"/>
      <c r="AL69" s="682"/>
      <c r="AM69" s="682"/>
      <c r="AN69" s="682"/>
      <c r="AO69" s="682"/>
      <c r="AP69" s="682"/>
      <c r="AQ69" s="682"/>
      <c r="AR69" s="682"/>
      <c r="AS69" s="682"/>
      <c r="AT69" s="682"/>
    </row>
    <row r="70" spans="1:46" s="489" customFormat="1">
      <c r="A70" s="57"/>
      <c r="B70" s="57"/>
      <c r="C70" s="257"/>
      <c r="D70" s="34" t="s">
        <v>488</v>
      </c>
      <c r="E70" s="1009">
        <v>15</v>
      </c>
      <c r="F70" s="1009">
        <v>15</v>
      </c>
      <c r="G70" s="355"/>
      <c r="H70" s="198"/>
      <c r="J70" s="57"/>
      <c r="K70" s="79"/>
      <c r="L70" s="57"/>
      <c r="M70" s="682"/>
      <c r="N70" s="257"/>
      <c r="O70" s="34" t="s">
        <v>488</v>
      </c>
      <c r="P70" s="1009">
        <v>15</v>
      </c>
      <c r="Q70" s="1009">
        <v>15</v>
      </c>
      <c r="R70" s="355"/>
      <c r="S70" s="198"/>
      <c r="U70" s="682"/>
      <c r="V70" s="682"/>
      <c r="W70" s="682"/>
      <c r="X70" s="682"/>
      <c r="Y70" s="682" t="s">
        <v>1017</v>
      </c>
      <c r="Z70" s="682"/>
      <c r="AA70" s="682"/>
      <c r="AB70" s="682"/>
      <c r="AC70" s="682"/>
      <c r="AD70" s="682"/>
      <c r="AE70" s="682"/>
      <c r="AF70" s="682"/>
      <c r="AG70" s="682"/>
      <c r="AH70" s="682"/>
      <c r="AI70" s="682"/>
      <c r="AJ70" s="682"/>
      <c r="AK70" s="682"/>
      <c r="AL70" s="682"/>
      <c r="AM70" s="682"/>
      <c r="AN70" s="682"/>
      <c r="AO70" s="682"/>
      <c r="AP70" s="682"/>
      <c r="AQ70" s="682"/>
      <c r="AR70" s="682"/>
      <c r="AS70" s="682"/>
      <c r="AT70" s="682"/>
    </row>
    <row r="71" spans="1:46" s="489" customFormat="1">
      <c r="A71" s="57"/>
      <c r="B71" s="57"/>
      <c r="C71" s="257"/>
      <c r="D71" s="34" t="s">
        <v>161</v>
      </c>
      <c r="E71" s="1010">
        <v>0</v>
      </c>
      <c r="F71" s="1010">
        <v>0</v>
      </c>
      <c r="G71" s="198"/>
      <c r="H71" s="198"/>
      <c r="J71" s="57"/>
      <c r="K71" s="79"/>
      <c r="L71" s="57"/>
      <c r="M71" s="682"/>
      <c r="N71" s="257"/>
      <c r="O71" s="34" t="s">
        <v>161</v>
      </c>
      <c r="P71" s="1010">
        <v>0</v>
      </c>
      <c r="Q71" s="1010">
        <v>0</v>
      </c>
      <c r="R71" s="198"/>
      <c r="S71" s="198"/>
      <c r="U71" s="682"/>
      <c r="V71" s="682"/>
      <c r="W71" s="682"/>
      <c r="X71" s="682"/>
      <c r="Y71" s="682" t="s">
        <v>1018</v>
      </c>
      <c r="Z71" s="682"/>
      <c r="AA71" s="682"/>
      <c r="AB71" s="682"/>
      <c r="AC71" s="682"/>
      <c r="AD71" s="682"/>
      <c r="AE71" s="682"/>
      <c r="AF71" s="682"/>
      <c r="AG71" s="682"/>
      <c r="AH71" s="682"/>
      <c r="AI71" s="682"/>
      <c r="AJ71" s="682"/>
      <c r="AK71" s="682"/>
      <c r="AL71" s="682"/>
      <c r="AM71" s="682"/>
      <c r="AN71" s="682"/>
      <c r="AO71" s="682"/>
      <c r="AP71" s="682"/>
      <c r="AQ71" s="682"/>
      <c r="AR71" s="682"/>
      <c r="AS71" s="682"/>
      <c r="AT71" s="682"/>
    </row>
    <row r="72" spans="1:46" s="489" customFormat="1">
      <c r="A72" s="57"/>
      <c r="B72" s="57"/>
      <c r="C72" s="257"/>
      <c r="D72" s="34" t="s">
        <v>317</v>
      </c>
      <c r="E72" s="222">
        <v>0</v>
      </c>
      <c r="F72" s="222">
        <v>0</v>
      </c>
      <c r="G72" s="355"/>
      <c r="H72" s="198"/>
      <c r="J72" s="57"/>
      <c r="K72" s="79"/>
      <c r="L72" s="57"/>
      <c r="M72" s="682"/>
      <c r="N72" s="257"/>
      <c r="O72" s="34" t="s">
        <v>317</v>
      </c>
      <c r="P72" s="222">
        <v>0</v>
      </c>
      <c r="Q72" s="222">
        <v>0</v>
      </c>
      <c r="R72" s="355"/>
      <c r="S72" s="198"/>
      <c r="U72" s="682"/>
      <c r="V72" s="682"/>
      <c r="W72" s="682"/>
      <c r="X72" s="682"/>
      <c r="Y72" s="682" t="s">
        <v>1019</v>
      </c>
      <c r="Z72" s="682"/>
      <c r="AA72" s="682"/>
      <c r="AB72" s="682"/>
      <c r="AC72" s="682"/>
      <c r="AD72" s="682"/>
      <c r="AE72" s="682"/>
      <c r="AF72" s="682"/>
      <c r="AG72" s="682"/>
      <c r="AH72" s="682"/>
      <c r="AI72" s="682"/>
      <c r="AJ72" s="682"/>
      <c r="AK72" s="682"/>
      <c r="AL72" s="682"/>
      <c r="AM72" s="682"/>
      <c r="AN72" s="682"/>
      <c r="AO72" s="682"/>
      <c r="AP72" s="682"/>
      <c r="AQ72" s="682"/>
      <c r="AR72" s="682"/>
      <c r="AS72" s="682"/>
      <c r="AT72" s="682"/>
    </row>
    <row r="73" spans="1:46" s="489" customFormat="1">
      <c r="A73" s="57"/>
      <c r="B73" s="57"/>
      <c r="C73" s="257"/>
      <c r="D73" s="34" t="s">
        <v>54</v>
      </c>
      <c r="E73" s="222" t="s">
        <v>18</v>
      </c>
      <c r="F73" s="222" t="s">
        <v>18</v>
      </c>
      <c r="G73" s="228"/>
      <c r="H73" s="198"/>
      <c r="J73" s="57"/>
      <c r="K73" s="79"/>
      <c r="L73" s="57"/>
      <c r="M73" s="682"/>
      <c r="N73" s="257"/>
      <c r="O73" s="34" t="s">
        <v>54</v>
      </c>
      <c r="P73" s="222" t="s">
        <v>18</v>
      </c>
      <c r="Q73" s="222" t="s">
        <v>18</v>
      </c>
      <c r="R73" s="228"/>
      <c r="S73" s="198"/>
      <c r="U73" s="682"/>
      <c r="V73" s="682"/>
      <c r="W73" s="682"/>
      <c r="X73" s="682"/>
      <c r="Y73" s="682" t="s">
        <v>1020</v>
      </c>
      <c r="Z73" s="682"/>
      <c r="AA73" s="682"/>
      <c r="AB73" s="682"/>
      <c r="AC73" s="682"/>
      <c r="AD73" s="682"/>
      <c r="AE73" s="682"/>
      <c r="AF73" s="682"/>
      <c r="AG73" s="682"/>
      <c r="AH73" s="682"/>
      <c r="AI73" s="682"/>
      <c r="AJ73" s="682"/>
      <c r="AK73" s="682"/>
      <c r="AL73" s="682"/>
      <c r="AM73" s="682"/>
      <c r="AN73" s="682"/>
      <c r="AO73" s="682"/>
      <c r="AP73" s="682"/>
      <c r="AQ73" s="682"/>
      <c r="AR73" s="682"/>
      <c r="AS73" s="682"/>
      <c r="AT73" s="682"/>
    </row>
    <row r="74" spans="1:46" s="489" customFormat="1">
      <c r="A74" s="57"/>
      <c r="B74" s="57"/>
      <c r="C74" s="257"/>
      <c r="D74" s="34" t="s">
        <v>225</v>
      </c>
      <c r="E74" s="1007">
        <v>0</v>
      </c>
      <c r="F74" s="1007">
        <v>0</v>
      </c>
      <c r="G74" s="228"/>
      <c r="H74" s="198"/>
      <c r="J74" s="57"/>
      <c r="K74" s="79"/>
      <c r="L74" s="57"/>
      <c r="M74" s="682"/>
      <c r="N74" s="257"/>
      <c r="O74" s="34" t="s">
        <v>225</v>
      </c>
      <c r="P74" s="1007">
        <v>0</v>
      </c>
      <c r="Q74" s="1007">
        <v>0</v>
      </c>
      <c r="R74" s="228"/>
      <c r="S74" s="198"/>
      <c r="U74" s="682"/>
      <c r="V74" s="682"/>
      <c r="W74" s="682"/>
      <c r="X74" s="682"/>
      <c r="Y74" s="682" t="s">
        <v>1021</v>
      </c>
      <c r="Z74" s="682"/>
      <c r="AA74" s="682"/>
      <c r="AB74" s="682"/>
      <c r="AC74" s="682"/>
      <c r="AD74" s="682"/>
      <c r="AE74" s="682"/>
      <c r="AF74" s="682"/>
      <c r="AG74" s="682"/>
      <c r="AH74" s="682"/>
      <c r="AI74" s="682"/>
      <c r="AJ74" s="682"/>
      <c r="AK74" s="682"/>
      <c r="AL74" s="682"/>
      <c r="AM74" s="682"/>
      <c r="AN74" s="682"/>
      <c r="AO74" s="682"/>
      <c r="AP74" s="682"/>
      <c r="AQ74" s="682"/>
      <c r="AR74" s="682"/>
      <c r="AS74" s="682"/>
      <c r="AT74" s="682"/>
    </row>
    <row r="75" spans="1:46" s="489" customFormat="1">
      <c r="A75" s="57"/>
      <c r="B75" s="57"/>
      <c r="C75" s="257"/>
      <c r="D75" s="34" t="s">
        <v>186</v>
      </c>
      <c r="E75" s="1001">
        <v>0</v>
      </c>
      <c r="F75" s="1001">
        <v>0</v>
      </c>
      <c r="G75" s="198"/>
      <c r="H75" s="198"/>
      <c r="J75" s="57"/>
      <c r="K75" s="79"/>
      <c r="L75" s="57"/>
      <c r="M75" s="682"/>
      <c r="N75" s="257"/>
      <c r="O75" s="34" t="s">
        <v>186</v>
      </c>
      <c r="P75" s="1001">
        <v>0</v>
      </c>
      <c r="Q75" s="1001">
        <v>0</v>
      </c>
      <c r="R75" s="198"/>
      <c r="S75" s="198"/>
      <c r="U75" s="682"/>
      <c r="V75" s="682"/>
      <c r="W75" s="682"/>
      <c r="X75" s="682"/>
      <c r="Y75" s="682" t="s">
        <v>1022</v>
      </c>
      <c r="Z75" s="682"/>
      <c r="AA75" s="682"/>
      <c r="AB75" s="682"/>
      <c r="AC75" s="682"/>
      <c r="AD75" s="682"/>
      <c r="AE75" s="682"/>
      <c r="AF75" s="682"/>
      <c r="AG75" s="682"/>
      <c r="AH75" s="682"/>
      <c r="AI75" s="682"/>
      <c r="AJ75" s="682"/>
      <c r="AK75" s="682"/>
      <c r="AL75" s="682"/>
      <c r="AM75" s="682"/>
      <c r="AN75" s="682"/>
      <c r="AO75" s="682"/>
      <c r="AP75" s="682"/>
      <c r="AQ75" s="682"/>
      <c r="AR75" s="682"/>
      <c r="AS75" s="682"/>
      <c r="AT75" s="682"/>
    </row>
    <row r="76" spans="1:46" s="489" customFormat="1">
      <c r="A76" s="57"/>
      <c r="B76" s="57"/>
      <c r="C76" s="257"/>
      <c r="D76" s="34"/>
      <c r="E76" s="34"/>
      <c r="F76" s="34"/>
      <c r="G76" s="34"/>
      <c r="H76" s="198"/>
      <c r="J76" s="57"/>
      <c r="K76" s="79"/>
      <c r="L76" s="57"/>
      <c r="M76" s="682"/>
      <c r="N76" s="257"/>
      <c r="O76" s="34"/>
      <c r="P76" s="34"/>
      <c r="Q76" s="34"/>
      <c r="R76" s="34"/>
      <c r="S76" s="198"/>
      <c r="U76" s="682"/>
      <c r="V76" s="682"/>
      <c r="W76" s="682"/>
      <c r="X76" s="978"/>
      <c r="Y76" s="682" t="s">
        <v>1090</v>
      </c>
      <c r="Z76" s="682"/>
      <c r="AA76" s="682"/>
      <c r="AB76" s="682"/>
      <c r="AC76" s="682"/>
      <c r="AD76" s="682"/>
      <c r="AE76" s="682"/>
      <c r="AF76" s="682"/>
      <c r="AG76" s="682"/>
      <c r="AH76" s="682"/>
      <c r="AI76" s="682"/>
      <c r="AJ76" s="682"/>
      <c r="AK76" s="682"/>
      <c r="AL76" s="682"/>
      <c r="AM76" s="682"/>
      <c r="AN76" s="682"/>
      <c r="AO76" s="682"/>
      <c r="AP76" s="682"/>
      <c r="AQ76" s="682"/>
      <c r="AR76" s="682"/>
      <c r="AS76" s="682"/>
      <c r="AT76" s="682"/>
    </row>
    <row r="77" spans="1:46" s="489" customFormat="1">
      <c r="A77" s="57"/>
      <c r="B77" s="57"/>
      <c r="C77" s="257"/>
      <c r="D77" s="772" t="s">
        <v>221</v>
      </c>
      <c r="E77" s="34"/>
      <c r="F77" s="34"/>
      <c r="G77" s="34"/>
      <c r="H77" s="198"/>
      <c r="J77" s="57"/>
      <c r="K77" s="79"/>
      <c r="L77" s="57"/>
      <c r="M77" s="682"/>
      <c r="N77" s="257"/>
      <c r="O77" s="772" t="s">
        <v>221</v>
      </c>
      <c r="P77" s="34"/>
      <c r="Q77" s="34"/>
      <c r="R77" s="34"/>
      <c r="S77" s="198"/>
      <c r="U77" s="682"/>
      <c r="V77" s="682"/>
      <c r="W77" s="682"/>
      <c r="X77" s="682"/>
      <c r="Y77" s="682" t="s">
        <v>1023</v>
      </c>
      <c r="Z77" s="682"/>
      <c r="AA77" s="682"/>
      <c r="AB77" s="682"/>
      <c r="AC77" s="682"/>
      <c r="AD77" s="682"/>
      <c r="AE77" s="682"/>
      <c r="AF77" s="682"/>
      <c r="AG77" s="682"/>
      <c r="AH77" s="682"/>
      <c r="AI77" s="682"/>
      <c r="AJ77" s="682"/>
      <c r="AK77" s="682"/>
      <c r="AL77" s="682"/>
      <c r="AM77" s="682"/>
      <c r="AN77" s="682"/>
      <c r="AO77" s="682"/>
      <c r="AP77" s="682"/>
      <c r="AQ77" s="682"/>
      <c r="AR77" s="682"/>
      <c r="AS77" s="682"/>
      <c r="AT77" s="682"/>
    </row>
    <row r="78" spans="1:46" s="489" customFormat="1">
      <c r="A78" s="57"/>
      <c r="B78" s="57"/>
      <c r="C78" s="257"/>
      <c r="D78" s="272" t="s">
        <v>401</v>
      </c>
      <c r="E78" s="1014"/>
      <c r="F78" s="1014"/>
      <c r="G78" s="198"/>
      <c r="H78" s="198"/>
      <c r="J78" s="57"/>
      <c r="K78" s="79"/>
      <c r="L78" s="57"/>
      <c r="M78" s="682"/>
      <c r="N78" s="257"/>
      <c r="O78" s="272" t="s">
        <v>401</v>
      </c>
      <c r="P78" s="1014"/>
      <c r="Q78" s="1014"/>
      <c r="R78" s="198"/>
      <c r="S78" s="198"/>
      <c r="U78" s="682"/>
      <c r="V78" s="682"/>
      <c r="W78" s="682"/>
      <c r="X78" s="682"/>
      <c r="Y78" s="682" t="s">
        <v>1024</v>
      </c>
      <c r="Z78" s="682"/>
      <c r="AA78" s="682"/>
      <c r="AB78" s="682"/>
      <c r="AC78" s="682"/>
      <c r="AD78" s="682"/>
      <c r="AE78" s="682"/>
      <c r="AF78" s="682"/>
      <c r="AG78" s="682"/>
      <c r="AH78" s="682"/>
      <c r="AI78" s="682"/>
      <c r="AJ78" s="682"/>
      <c r="AK78" s="682"/>
      <c r="AL78" s="682"/>
      <c r="AM78" s="682"/>
      <c r="AN78" s="682"/>
      <c r="AO78" s="682"/>
      <c r="AP78" s="682"/>
      <c r="AQ78" s="682"/>
      <c r="AR78" s="682"/>
      <c r="AS78" s="682"/>
      <c r="AT78" s="682"/>
    </row>
    <row r="79" spans="1:46" s="489" customFormat="1">
      <c r="A79" s="57"/>
      <c r="B79" s="57"/>
      <c r="C79" s="257"/>
      <c r="D79" s="34" t="s">
        <v>267</v>
      </c>
      <c r="E79" s="1005">
        <v>0</v>
      </c>
      <c r="F79" s="1005">
        <v>0</v>
      </c>
      <c r="G79" s="228"/>
      <c r="H79" s="198"/>
      <c r="J79" s="57"/>
      <c r="K79" s="79"/>
      <c r="L79" s="57"/>
      <c r="M79" s="682"/>
      <c r="N79" s="257"/>
      <c r="O79" s="34" t="s">
        <v>267</v>
      </c>
      <c r="P79" s="1005">
        <v>0</v>
      </c>
      <c r="Q79" s="1005">
        <v>0</v>
      </c>
      <c r="R79" s="228"/>
      <c r="S79" s="198"/>
      <c r="U79" s="682"/>
      <c r="V79" s="682"/>
      <c r="W79" s="682"/>
      <c r="X79" s="682"/>
      <c r="Y79" s="682" t="s">
        <v>1025</v>
      </c>
      <c r="Z79" s="682"/>
      <c r="AA79" s="682"/>
      <c r="AB79" s="682"/>
      <c r="AC79" s="682"/>
      <c r="AD79" s="682"/>
      <c r="AE79" s="682"/>
      <c r="AF79" s="682"/>
      <c r="AG79" s="682"/>
      <c r="AH79" s="682"/>
      <c r="AI79" s="682"/>
      <c r="AJ79" s="682"/>
      <c r="AK79" s="682"/>
      <c r="AL79" s="682"/>
      <c r="AM79" s="682"/>
      <c r="AN79" s="682"/>
      <c r="AO79" s="682"/>
      <c r="AP79" s="682"/>
      <c r="AQ79" s="682"/>
      <c r="AR79" s="682"/>
      <c r="AS79" s="682"/>
      <c r="AT79" s="682"/>
    </row>
    <row r="80" spans="1:46" s="489" customFormat="1">
      <c r="A80" s="57"/>
      <c r="B80" s="57"/>
      <c r="C80" s="257"/>
      <c r="D80" s="34" t="s">
        <v>160</v>
      </c>
      <c r="E80" s="1006" t="s">
        <v>417</v>
      </c>
      <c r="F80" s="1006" t="s">
        <v>417</v>
      </c>
      <c r="G80" s="355"/>
      <c r="H80" s="198"/>
      <c r="J80" s="57"/>
      <c r="K80" s="79"/>
      <c r="L80" s="57"/>
      <c r="M80" s="682"/>
      <c r="N80" s="257"/>
      <c r="O80" s="34" t="s">
        <v>160</v>
      </c>
      <c r="P80" s="1006" t="s">
        <v>417</v>
      </c>
      <c r="Q80" s="1006" t="s">
        <v>417</v>
      </c>
      <c r="R80" s="355"/>
      <c r="S80" s="198"/>
      <c r="U80" s="682"/>
      <c r="V80" s="682"/>
      <c r="W80" s="682"/>
      <c r="X80" s="682"/>
      <c r="Y80" s="682" t="s">
        <v>1026</v>
      </c>
      <c r="Z80" s="682"/>
      <c r="AA80" s="682"/>
      <c r="AB80" s="682"/>
      <c r="AC80" s="682"/>
      <c r="AD80" s="682"/>
      <c r="AE80" s="682"/>
      <c r="AF80" s="682"/>
      <c r="AG80" s="682"/>
      <c r="AH80" s="682"/>
      <c r="AI80" s="682"/>
      <c r="AJ80" s="682"/>
      <c r="AK80" s="682"/>
      <c r="AL80" s="682"/>
      <c r="AM80" s="682"/>
      <c r="AN80" s="682"/>
      <c r="AO80" s="682"/>
      <c r="AP80" s="682"/>
      <c r="AQ80" s="682"/>
      <c r="AR80" s="682"/>
      <c r="AS80" s="682"/>
      <c r="AT80" s="682"/>
    </row>
    <row r="81" spans="1:46" s="489" customFormat="1">
      <c r="A81" s="57"/>
      <c r="B81" s="57"/>
      <c r="C81" s="257"/>
      <c r="D81" s="34" t="s">
        <v>92</v>
      </c>
      <c r="E81" s="996">
        <v>0</v>
      </c>
      <c r="F81" s="996">
        <v>0.02</v>
      </c>
      <c r="G81" s="355"/>
      <c r="H81" s="198"/>
      <c r="J81" s="57"/>
      <c r="K81" s="79"/>
      <c r="L81" s="57"/>
      <c r="M81" s="682"/>
      <c r="N81" s="257"/>
      <c r="O81" s="34" t="s">
        <v>92</v>
      </c>
      <c r="P81" s="996">
        <v>0</v>
      </c>
      <c r="Q81" s="996">
        <v>0.02</v>
      </c>
      <c r="R81" s="355"/>
      <c r="S81" s="198"/>
      <c r="U81" s="682"/>
      <c r="V81" s="682"/>
      <c r="W81" s="682"/>
      <c r="X81" s="682"/>
      <c r="Y81" s="682" t="s">
        <v>1027</v>
      </c>
      <c r="Z81" s="682"/>
      <c r="AA81" s="682"/>
      <c r="AB81" s="682"/>
      <c r="AC81" s="682"/>
      <c r="AD81" s="682"/>
      <c r="AE81" s="682"/>
      <c r="AF81" s="682"/>
      <c r="AG81" s="682"/>
      <c r="AH81" s="682"/>
      <c r="AI81" s="682"/>
      <c r="AJ81" s="682"/>
      <c r="AK81" s="682"/>
      <c r="AL81" s="682"/>
      <c r="AM81" s="682"/>
      <c r="AN81" s="682"/>
      <c r="AO81" s="682"/>
      <c r="AP81" s="682"/>
      <c r="AQ81" s="682"/>
      <c r="AR81" s="682"/>
      <c r="AS81" s="682"/>
      <c r="AT81" s="682"/>
    </row>
    <row r="82" spans="1:46" s="489" customFormat="1">
      <c r="A82" s="57"/>
      <c r="B82" s="57"/>
      <c r="C82" s="257"/>
      <c r="D82" s="34" t="s">
        <v>316</v>
      </c>
      <c r="E82" s="222">
        <v>0</v>
      </c>
      <c r="F82" s="222">
        <v>0</v>
      </c>
      <c r="G82" s="198"/>
      <c r="H82" s="198"/>
      <c r="J82" s="57"/>
      <c r="K82" s="79"/>
      <c r="L82" s="57"/>
      <c r="M82" s="682"/>
      <c r="N82" s="257"/>
      <c r="O82" s="34" t="s">
        <v>316</v>
      </c>
      <c r="P82" s="222">
        <v>0</v>
      </c>
      <c r="Q82" s="222">
        <v>0</v>
      </c>
      <c r="R82" s="198"/>
      <c r="S82" s="198"/>
      <c r="U82" s="682"/>
      <c r="V82" s="682"/>
      <c r="W82" s="682"/>
      <c r="X82" s="682"/>
      <c r="Y82" s="682" t="s">
        <v>1028</v>
      </c>
      <c r="Z82" s="682"/>
      <c r="AA82" s="682"/>
      <c r="AB82" s="682"/>
      <c r="AC82" s="682"/>
      <c r="AD82" s="682"/>
      <c r="AE82" s="682"/>
      <c r="AF82" s="682"/>
      <c r="AG82" s="682"/>
      <c r="AH82" s="682"/>
      <c r="AI82" s="682"/>
      <c r="AJ82" s="682"/>
      <c r="AK82" s="682"/>
      <c r="AL82" s="682"/>
      <c r="AM82" s="682"/>
      <c r="AN82" s="682"/>
      <c r="AO82" s="682"/>
      <c r="AP82" s="682"/>
      <c r="AQ82" s="682"/>
      <c r="AR82" s="682"/>
      <c r="AS82" s="682"/>
      <c r="AT82" s="682"/>
    </row>
    <row r="83" spans="1:46" s="489" customFormat="1">
      <c r="A83" s="57"/>
      <c r="B83" s="57"/>
      <c r="C83" s="257"/>
      <c r="D83" s="34" t="s">
        <v>54</v>
      </c>
      <c r="E83" s="222" t="s">
        <v>18</v>
      </c>
      <c r="F83" s="222" t="s">
        <v>18</v>
      </c>
      <c r="G83" s="355"/>
      <c r="H83" s="198"/>
      <c r="J83" s="57"/>
      <c r="K83" s="79"/>
      <c r="L83" s="57"/>
      <c r="M83" s="682"/>
      <c r="N83" s="257"/>
      <c r="O83" s="34" t="s">
        <v>54</v>
      </c>
      <c r="P83" s="222" t="s">
        <v>18</v>
      </c>
      <c r="Q83" s="222" t="s">
        <v>18</v>
      </c>
      <c r="R83" s="355"/>
      <c r="S83" s="198"/>
      <c r="U83" s="682"/>
      <c r="V83" s="682"/>
      <c r="W83" s="682"/>
      <c r="X83" s="682"/>
      <c r="Y83" s="682" t="s">
        <v>1029</v>
      </c>
      <c r="Z83" s="682"/>
      <c r="AA83" s="682"/>
      <c r="AB83" s="682"/>
      <c r="AC83" s="682"/>
      <c r="AD83" s="682"/>
      <c r="AE83" s="682"/>
      <c r="AF83" s="682"/>
      <c r="AG83" s="682"/>
      <c r="AH83" s="682"/>
      <c r="AI83" s="682"/>
      <c r="AJ83" s="682"/>
      <c r="AK83" s="682"/>
      <c r="AL83" s="682"/>
      <c r="AM83" s="682"/>
      <c r="AN83" s="682"/>
      <c r="AO83" s="682"/>
      <c r="AP83" s="682"/>
      <c r="AQ83" s="682"/>
      <c r="AR83" s="682"/>
      <c r="AS83" s="682"/>
      <c r="AT83" s="682"/>
    </row>
    <row r="84" spans="1:46" s="489" customFormat="1">
      <c r="A84" s="57"/>
      <c r="B84" s="57"/>
      <c r="C84" s="257"/>
      <c r="D84" s="34" t="s">
        <v>271</v>
      </c>
      <c r="E84" s="195">
        <v>0</v>
      </c>
      <c r="F84" s="195">
        <v>21</v>
      </c>
      <c r="G84" s="355"/>
      <c r="H84" s="198"/>
      <c r="J84" s="57"/>
      <c r="K84" s="79"/>
      <c r="L84" s="57"/>
      <c r="M84" s="682"/>
      <c r="N84" s="257"/>
      <c r="O84" s="34" t="s">
        <v>271</v>
      </c>
      <c r="P84" s="195">
        <v>0</v>
      </c>
      <c r="Q84" s="195">
        <v>21</v>
      </c>
      <c r="R84" s="355"/>
      <c r="S84" s="198"/>
      <c r="U84" s="682"/>
      <c r="V84" s="682"/>
      <c r="W84" s="682"/>
      <c r="X84" s="682"/>
      <c r="Y84" s="682" t="s">
        <v>1030</v>
      </c>
      <c r="Z84" s="682"/>
      <c r="AA84" s="682"/>
      <c r="AB84" s="682"/>
      <c r="AC84" s="682"/>
      <c r="AD84" s="682"/>
      <c r="AE84" s="682"/>
      <c r="AF84" s="682"/>
      <c r="AG84" s="682"/>
      <c r="AH84" s="682"/>
      <c r="AI84" s="682"/>
      <c r="AJ84" s="682"/>
      <c r="AK84" s="682"/>
      <c r="AL84" s="682"/>
      <c r="AM84" s="682"/>
      <c r="AN84" s="682"/>
      <c r="AO84" s="682"/>
      <c r="AP84" s="682"/>
      <c r="AQ84" s="682"/>
      <c r="AR84" s="682"/>
      <c r="AS84" s="682"/>
      <c r="AT84" s="682"/>
    </row>
    <row r="85" spans="1:46" s="489" customFormat="1">
      <c r="A85" s="57"/>
      <c r="B85" s="57"/>
      <c r="C85" s="257"/>
      <c r="D85" s="34" t="s">
        <v>225</v>
      </c>
      <c r="E85" s="1007">
        <v>0.05</v>
      </c>
      <c r="F85" s="1007">
        <v>0</v>
      </c>
      <c r="G85" s="198"/>
      <c r="H85" s="198"/>
      <c r="J85" s="57"/>
      <c r="K85" s="79"/>
      <c r="L85" s="57"/>
      <c r="M85" s="682"/>
      <c r="N85" s="257"/>
      <c r="O85" s="34" t="s">
        <v>225</v>
      </c>
      <c r="P85" s="1007">
        <v>0.05</v>
      </c>
      <c r="Q85" s="1007">
        <v>0</v>
      </c>
      <c r="R85" s="198"/>
      <c r="S85" s="198"/>
      <c r="U85" s="682"/>
      <c r="V85" s="682"/>
      <c r="W85" s="682"/>
      <c r="X85" s="682"/>
      <c r="Y85" s="682" t="s">
        <v>1031</v>
      </c>
      <c r="Z85" s="682"/>
      <c r="AA85" s="682"/>
      <c r="AB85" s="682"/>
      <c r="AC85" s="682"/>
      <c r="AD85" s="682"/>
      <c r="AE85" s="682"/>
      <c r="AF85" s="682"/>
      <c r="AG85" s="682"/>
      <c r="AH85" s="682"/>
      <c r="AI85" s="682"/>
      <c r="AJ85" s="682"/>
      <c r="AK85" s="682"/>
      <c r="AL85" s="682"/>
      <c r="AM85" s="682"/>
      <c r="AN85" s="682"/>
      <c r="AO85" s="682"/>
      <c r="AP85" s="682"/>
      <c r="AQ85" s="682"/>
      <c r="AR85" s="682"/>
      <c r="AS85" s="682"/>
      <c r="AT85" s="682"/>
    </row>
    <row r="86" spans="1:46" s="489" customFormat="1">
      <c r="A86" s="57"/>
      <c r="B86" s="57"/>
      <c r="C86" s="257"/>
      <c r="D86" s="34" t="s">
        <v>226</v>
      </c>
      <c r="E86" s="1008">
        <v>0</v>
      </c>
      <c r="F86" s="1008">
        <v>0</v>
      </c>
      <c r="G86" s="198"/>
      <c r="H86" s="198"/>
      <c r="J86" s="57"/>
      <c r="K86" s="79"/>
      <c r="L86" s="57"/>
      <c r="M86" s="682"/>
      <c r="N86" s="257"/>
      <c r="O86" s="34" t="s">
        <v>226</v>
      </c>
      <c r="P86" s="1008">
        <v>0</v>
      </c>
      <c r="Q86" s="1008">
        <v>0</v>
      </c>
      <c r="R86" s="198"/>
      <c r="S86" s="198"/>
      <c r="U86" s="682"/>
      <c r="V86" s="682"/>
      <c r="W86" s="682"/>
      <c r="X86" s="682"/>
      <c r="Y86" s="682" t="s">
        <v>1032</v>
      </c>
      <c r="Z86" s="682"/>
      <c r="AA86" s="682"/>
      <c r="AB86" s="682"/>
      <c r="AC86" s="682"/>
      <c r="AD86" s="682"/>
      <c r="AE86" s="682"/>
      <c r="AF86" s="682"/>
      <c r="AG86" s="682"/>
      <c r="AH86" s="682"/>
      <c r="AI86" s="682"/>
      <c r="AJ86" s="682"/>
      <c r="AK86" s="682"/>
      <c r="AL86" s="682"/>
      <c r="AM86" s="682"/>
      <c r="AN86" s="682"/>
      <c r="AO86" s="682"/>
      <c r="AP86" s="682"/>
      <c r="AQ86" s="682"/>
      <c r="AR86" s="682"/>
      <c r="AS86" s="682"/>
      <c r="AT86" s="682"/>
    </row>
    <row r="87" spans="1:46" s="489" customFormat="1">
      <c r="A87" s="57"/>
      <c r="B87" s="57"/>
      <c r="C87" s="257"/>
      <c r="D87" s="194" t="s">
        <v>185</v>
      </c>
      <c r="E87" s="1001">
        <v>0</v>
      </c>
      <c r="F87" s="1001">
        <v>0</v>
      </c>
      <c r="G87" s="295"/>
      <c r="H87" s="198"/>
      <c r="J87" s="57"/>
      <c r="K87" s="79"/>
      <c r="L87" s="57"/>
      <c r="M87" s="682"/>
      <c r="N87" s="257"/>
      <c r="O87" s="194" t="s">
        <v>185</v>
      </c>
      <c r="P87" s="1001">
        <v>0</v>
      </c>
      <c r="Q87" s="1001">
        <v>0</v>
      </c>
      <c r="R87" s="295"/>
      <c r="S87" s="198"/>
      <c r="U87" s="682"/>
      <c r="V87" s="682"/>
      <c r="W87" s="682"/>
      <c r="X87" s="682"/>
      <c r="Y87" s="682" t="s">
        <v>1033</v>
      </c>
      <c r="Z87" s="682"/>
      <c r="AA87" s="682"/>
      <c r="AB87" s="682"/>
      <c r="AC87" s="682"/>
      <c r="AD87" s="682"/>
      <c r="AE87" s="682"/>
      <c r="AF87" s="682"/>
      <c r="AG87" s="682"/>
      <c r="AH87" s="682"/>
      <c r="AI87" s="682"/>
      <c r="AJ87" s="682"/>
      <c r="AK87" s="682"/>
      <c r="AL87" s="682"/>
      <c r="AM87" s="682"/>
      <c r="AN87" s="682"/>
      <c r="AO87" s="682"/>
      <c r="AP87" s="682"/>
      <c r="AQ87" s="682"/>
      <c r="AR87" s="682"/>
      <c r="AS87" s="682"/>
      <c r="AT87" s="682"/>
    </row>
    <row r="88" spans="1:46" s="489" customFormat="1">
      <c r="A88" s="57"/>
      <c r="B88" s="57"/>
      <c r="C88" s="257"/>
      <c r="D88" s="194" t="s">
        <v>186</v>
      </c>
      <c r="E88" s="1001">
        <v>0</v>
      </c>
      <c r="F88" s="1001">
        <v>0</v>
      </c>
      <c r="J88" s="57"/>
      <c r="K88" s="79"/>
      <c r="L88" s="57"/>
      <c r="M88" s="682"/>
      <c r="N88" s="257"/>
      <c r="O88" s="194" t="s">
        <v>186</v>
      </c>
      <c r="P88" s="1001">
        <v>0</v>
      </c>
      <c r="Q88" s="1001">
        <v>0</v>
      </c>
      <c r="U88" s="682"/>
      <c r="V88" s="682"/>
      <c r="W88" s="682"/>
      <c r="X88" s="682"/>
      <c r="Y88" s="682" t="s">
        <v>1034</v>
      </c>
      <c r="Z88" s="682"/>
      <c r="AA88" s="682"/>
      <c r="AB88" s="682"/>
      <c r="AC88" s="682"/>
      <c r="AD88" s="682"/>
      <c r="AE88" s="682"/>
      <c r="AF88" s="682"/>
      <c r="AG88" s="682"/>
      <c r="AH88" s="682"/>
      <c r="AI88" s="682"/>
      <c r="AJ88" s="682"/>
      <c r="AK88" s="682"/>
      <c r="AL88" s="682"/>
      <c r="AM88" s="682"/>
      <c r="AN88" s="682"/>
      <c r="AO88" s="682"/>
      <c r="AP88" s="682"/>
      <c r="AQ88" s="682"/>
      <c r="AR88" s="682"/>
      <c r="AS88" s="682"/>
      <c r="AT88" s="682"/>
    </row>
    <row r="89" spans="1:46" s="489" customFormat="1">
      <c r="A89" s="57"/>
      <c r="B89" s="57"/>
      <c r="C89" s="257"/>
      <c r="D89" s="34" t="s">
        <v>57</v>
      </c>
      <c r="E89" s="34"/>
      <c r="F89" s="34"/>
      <c r="G89" s="34"/>
      <c r="H89" s="198"/>
      <c r="J89" s="57"/>
      <c r="K89" s="79"/>
      <c r="L89" s="57"/>
      <c r="M89" s="682"/>
      <c r="N89" s="257"/>
      <c r="O89" s="34" t="s">
        <v>57</v>
      </c>
      <c r="P89" s="34"/>
      <c r="Q89" s="34"/>
      <c r="R89" s="34"/>
      <c r="S89" s="198"/>
      <c r="U89" s="682"/>
      <c r="V89" s="682"/>
      <c r="W89" s="682"/>
      <c r="X89" s="682"/>
      <c r="Y89" s="682" t="s">
        <v>1035</v>
      </c>
      <c r="Z89" s="682"/>
      <c r="AA89" s="682"/>
      <c r="AB89" s="682"/>
      <c r="AC89" s="682"/>
      <c r="AD89" s="682"/>
      <c r="AE89" s="682"/>
      <c r="AF89" s="682"/>
      <c r="AG89" s="682"/>
      <c r="AH89" s="682"/>
      <c r="AI89" s="682"/>
      <c r="AJ89" s="682"/>
      <c r="AK89" s="682"/>
      <c r="AL89" s="682"/>
      <c r="AM89" s="682"/>
      <c r="AN89" s="682"/>
      <c r="AO89" s="682"/>
      <c r="AP89" s="682"/>
      <c r="AQ89" s="682"/>
      <c r="AR89" s="682"/>
      <c r="AS89" s="682"/>
      <c r="AT89" s="682"/>
    </row>
    <row r="90" spans="1:46" s="489" customFormat="1">
      <c r="A90" s="57"/>
      <c r="B90" s="226"/>
      <c r="C90" s="226"/>
      <c r="D90" s="226" t="s">
        <v>260</v>
      </c>
      <c r="E90" s="226"/>
      <c r="F90" s="226"/>
      <c r="G90" s="226"/>
      <c r="H90" s="226"/>
      <c r="I90" s="226"/>
      <c r="J90" s="799"/>
      <c r="K90" s="226"/>
      <c r="L90" s="57"/>
      <c r="M90" s="261"/>
      <c r="N90" s="777"/>
      <c r="O90" s="777" t="s">
        <v>260</v>
      </c>
      <c r="P90" s="777"/>
      <c r="Q90" s="777"/>
      <c r="R90" s="777"/>
      <c r="S90" s="777"/>
      <c r="T90" s="777"/>
      <c r="U90" s="682"/>
      <c r="V90" s="682"/>
      <c r="W90" s="682"/>
      <c r="X90" s="682"/>
      <c r="Y90" s="682" t="s">
        <v>1037</v>
      </c>
      <c r="Z90" s="682"/>
      <c r="AA90" s="682"/>
      <c r="AB90" s="682"/>
      <c r="AC90" s="682"/>
      <c r="AD90" s="682"/>
      <c r="AE90" s="682"/>
      <c r="AF90" s="682"/>
      <c r="AG90" s="682"/>
      <c r="AH90" s="682"/>
      <c r="AI90" s="682"/>
      <c r="AJ90" s="682"/>
      <c r="AK90" s="682"/>
      <c r="AL90" s="682"/>
      <c r="AM90" s="682"/>
      <c r="AN90" s="682"/>
      <c r="AO90" s="682"/>
      <c r="AP90" s="682"/>
      <c r="AQ90" s="682"/>
      <c r="AR90" s="682"/>
      <c r="AS90" s="682"/>
      <c r="AT90" s="682"/>
    </row>
    <row r="91" spans="1:46" s="489" customFormat="1">
      <c r="A91" s="57"/>
      <c r="B91" s="40"/>
      <c r="C91" s="257"/>
      <c r="D91" s="682"/>
      <c r="J91" s="57"/>
      <c r="K91" s="79"/>
      <c r="L91" s="57"/>
      <c r="M91" s="682"/>
      <c r="N91" s="257"/>
      <c r="O91" s="682"/>
      <c r="U91" s="682"/>
      <c r="V91" s="682"/>
      <c r="W91" s="682"/>
      <c r="X91" s="682"/>
      <c r="Y91" s="682" t="s">
        <v>1038</v>
      </c>
      <c r="Z91" s="682"/>
      <c r="AA91" s="682"/>
      <c r="AB91" s="682"/>
      <c r="AC91" s="682"/>
      <c r="AD91" s="682"/>
      <c r="AE91" s="682"/>
      <c r="AF91" s="682"/>
      <c r="AG91" s="682"/>
      <c r="AH91" s="682"/>
      <c r="AI91" s="682"/>
      <c r="AJ91" s="682"/>
      <c r="AK91" s="682"/>
      <c r="AL91" s="682"/>
      <c r="AM91" s="682"/>
      <c r="AN91" s="682"/>
      <c r="AO91" s="682"/>
      <c r="AP91" s="682"/>
      <c r="AQ91" s="682"/>
      <c r="AR91" s="682"/>
      <c r="AS91" s="682"/>
      <c r="AT91" s="682"/>
    </row>
    <row r="92" spans="1:46" s="489" customFormat="1">
      <c r="A92" s="57"/>
      <c r="B92" s="40"/>
      <c r="C92" s="257"/>
      <c r="J92" s="57"/>
      <c r="K92" s="79"/>
      <c r="L92" s="57"/>
      <c r="M92" s="682"/>
      <c r="N92" s="257"/>
      <c r="U92" s="682"/>
      <c r="V92" s="682"/>
      <c r="W92" s="682"/>
      <c r="X92" s="682"/>
      <c r="Y92" s="682" t="s">
        <v>1039</v>
      </c>
      <c r="Z92" s="682"/>
      <c r="AA92" s="682"/>
      <c r="AB92" s="682"/>
      <c r="AC92" s="682"/>
      <c r="AD92" s="682"/>
      <c r="AE92" s="682"/>
      <c r="AF92" s="682"/>
      <c r="AG92" s="682"/>
      <c r="AH92" s="682"/>
      <c r="AI92" s="682"/>
      <c r="AJ92" s="682"/>
      <c r="AK92" s="682"/>
      <c r="AL92" s="682"/>
      <c r="AM92" s="682"/>
      <c r="AN92" s="682"/>
      <c r="AO92" s="682"/>
      <c r="AP92" s="682"/>
      <c r="AQ92" s="682"/>
      <c r="AR92" s="682"/>
      <c r="AS92" s="682"/>
      <c r="AT92" s="682"/>
    </row>
    <row r="93" spans="1:46" s="489" customFormat="1">
      <c r="A93" s="57"/>
      <c r="B93" s="40"/>
      <c r="C93" s="257"/>
      <c r="D93" s="34"/>
      <c r="E93" s="34"/>
      <c r="F93" s="34"/>
      <c r="G93" s="198"/>
      <c r="H93" s="198"/>
      <c r="J93" s="57"/>
      <c r="K93" s="79"/>
      <c r="L93" s="57"/>
      <c r="M93" s="682"/>
      <c r="N93" s="257"/>
      <c r="O93" s="34"/>
      <c r="P93" s="34"/>
      <c r="Q93" s="34"/>
      <c r="R93" s="198"/>
      <c r="S93" s="198"/>
      <c r="U93" s="682"/>
      <c r="V93" s="682"/>
      <c r="W93" s="682"/>
      <c r="X93" s="682"/>
      <c r="Y93" s="682" t="s">
        <v>1091</v>
      </c>
      <c r="Z93" s="682"/>
      <c r="AA93" s="682"/>
      <c r="AB93" s="682"/>
      <c r="AC93" s="682"/>
      <c r="AD93" s="682"/>
      <c r="AE93" s="682"/>
      <c r="AF93" s="682"/>
      <c r="AG93" s="682"/>
      <c r="AH93" s="682"/>
      <c r="AI93" s="682"/>
      <c r="AJ93" s="682"/>
      <c r="AK93" s="682"/>
      <c r="AL93" s="682"/>
      <c r="AM93" s="682"/>
      <c r="AN93" s="682"/>
      <c r="AO93" s="682"/>
      <c r="AP93" s="682"/>
      <c r="AQ93" s="682"/>
      <c r="AR93" s="682"/>
      <c r="AS93" s="682"/>
      <c r="AT93" s="682"/>
    </row>
    <row r="94" spans="1:46" s="489" customFormat="1">
      <c r="A94" s="57"/>
      <c r="B94" s="40"/>
      <c r="C94" s="257"/>
      <c r="D94" s="772" t="s">
        <v>222</v>
      </c>
      <c r="E94" s="34"/>
      <c r="F94" s="34"/>
      <c r="G94" s="198"/>
      <c r="H94" s="198"/>
      <c r="J94" s="57"/>
      <c r="K94" s="79"/>
      <c r="L94" s="57"/>
      <c r="M94" s="682"/>
      <c r="N94" s="257"/>
      <c r="O94" s="772" t="s">
        <v>222</v>
      </c>
      <c r="P94" s="34"/>
      <c r="Q94" s="34"/>
      <c r="R94" s="198"/>
      <c r="S94" s="198"/>
      <c r="U94" s="682"/>
      <c r="V94" s="682"/>
      <c r="W94" s="682"/>
      <c r="X94" s="682"/>
      <c r="Y94" s="682" t="s">
        <v>1040</v>
      </c>
      <c r="Z94" s="682"/>
      <c r="AA94" s="682"/>
      <c r="AB94" s="682"/>
      <c r="AC94" s="682"/>
      <c r="AD94" s="682"/>
      <c r="AE94" s="682"/>
      <c r="AF94" s="682"/>
      <c r="AG94" s="682"/>
      <c r="AH94" s="682"/>
      <c r="AI94" s="682"/>
      <c r="AJ94" s="682"/>
      <c r="AK94" s="682"/>
      <c r="AL94" s="682"/>
      <c r="AM94" s="682"/>
      <c r="AN94" s="682"/>
      <c r="AO94" s="682"/>
      <c r="AP94" s="682"/>
      <c r="AQ94" s="682"/>
      <c r="AR94" s="682"/>
      <c r="AS94" s="682"/>
      <c r="AT94" s="682"/>
    </row>
    <row r="95" spans="1:46" s="489" customFormat="1" hidden="1">
      <c r="A95" s="57"/>
      <c r="B95" s="40"/>
      <c r="C95" s="257"/>
      <c r="D95" s="48" t="s">
        <v>211</v>
      </c>
      <c r="E95" s="186" t="s">
        <v>18</v>
      </c>
      <c r="F95" s="186" t="s">
        <v>18</v>
      </c>
      <c r="G95" s="198"/>
      <c r="H95" s="198"/>
      <c r="J95" s="57"/>
      <c r="K95" s="79"/>
      <c r="L95" s="57"/>
      <c r="M95" s="682"/>
      <c r="N95" s="257"/>
      <c r="O95" s="48" t="s">
        <v>211</v>
      </c>
      <c r="P95" s="186" t="s">
        <v>18</v>
      </c>
      <c r="Q95" s="186" t="s">
        <v>18</v>
      </c>
      <c r="R95" s="198"/>
      <c r="S95" s="198"/>
      <c r="U95" s="682"/>
      <c r="V95" s="682"/>
      <c r="W95" s="682"/>
      <c r="X95" s="682"/>
      <c r="Y95" s="682" t="s">
        <v>1099</v>
      </c>
      <c r="Z95" s="682"/>
      <c r="AA95" s="682"/>
      <c r="AB95" s="682"/>
      <c r="AC95" s="682"/>
      <c r="AD95" s="682"/>
      <c r="AE95" s="682"/>
      <c r="AF95" s="682"/>
      <c r="AG95" s="682"/>
      <c r="AH95" s="682"/>
      <c r="AI95" s="682"/>
      <c r="AJ95" s="682"/>
      <c r="AK95" s="682"/>
      <c r="AL95" s="682"/>
      <c r="AM95" s="682"/>
      <c r="AN95" s="682"/>
      <c r="AO95" s="682"/>
      <c r="AP95" s="682"/>
      <c r="AQ95" s="682"/>
      <c r="AR95" s="682"/>
      <c r="AS95" s="682"/>
      <c r="AT95" s="682"/>
    </row>
    <row r="96" spans="1:46" s="489" customFormat="1">
      <c r="A96" s="57"/>
      <c r="B96" s="40"/>
      <c r="C96" s="257"/>
      <c r="D96" s="34" t="s">
        <v>142</v>
      </c>
      <c r="E96" s="993">
        <v>0</v>
      </c>
      <c r="F96" s="993">
        <v>0</v>
      </c>
      <c r="G96" s="355"/>
      <c r="H96" s="198"/>
      <c r="J96" s="57"/>
      <c r="K96" s="79"/>
      <c r="L96" s="57"/>
      <c r="M96" s="682"/>
      <c r="N96" s="257"/>
      <c r="O96" s="34" t="s">
        <v>142</v>
      </c>
      <c r="P96" s="993">
        <v>0</v>
      </c>
      <c r="Q96" s="993">
        <v>0</v>
      </c>
      <c r="R96" s="355"/>
      <c r="S96" s="198"/>
      <c r="U96" s="682"/>
      <c r="V96" s="682"/>
      <c r="W96" s="682"/>
      <c r="X96" s="682"/>
      <c r="Y96" s="682" t="s">
        <v>1041</v>
      </c>
      <c r="Z96" s="682"/>
      <c r="AA96" s="682"/>
      <c r="AB96" s="682"/>
      <c r="AC96" s="682"/>
      <c r="AD96" s="682"/>
      <c r="AE96" s="682"/>
      <c r="AF96" s="682"/>
      <c r="AG96" s="682"/>
      <c r="AH96" s="682"/>
      <c r="AI96" s="682"/>
      <c r="AJ96" s="682"/>
      <c r="AK96" s="682"/>
      <c r="AL96" s="682"/>
      <c r="AM96" s="682"/>
      <c r="AN96" s="682"/>
      <c r="AO96" s="682"/>
      <c r="AP96" s="682"/>
      <c r="AQ96" s="682"/>
      <c r="AR96" s="682"/>
      <c r="AS96" s="682"/>
      <c r="AT96" s="682"/>
    </row>
    <row r="97" spans="1:46" s="489" customFormat="1">
      <c r="A97" s="57"/>
      <c r="B97" s="40"/>
      <c r="C97" s="257"/>
      <c r="D97" s="34" t="s">
        <v>267</v>
      </c>
      <c r="E97" s="994">
        <v>0</v>
      </c>
      <c r="F97" s="994">
        <v>0</v>
      </c>
      <c r="G97" s="228"/>
      <c r="H97" s="198"/>
      <c r="J97" s="57"/>
      <c r="K97" s="79"/>
      <c r="L97" s="57"/>
      <c r="M97" s="682"/>
      <c r="N97" s="257"/>
      <c r="O97" s="34" t="s">
        <v>267</v>
      </c>
      <c r="P97" s="994">
        <v>0</v>
      </c>
      <c r="Q97" s="994">
        <v>0</v>
      </c>
      <c r="R97" s="228"/>
      <c r="S97" s="198"/>
      <c r="U97" s="682"/>
      <c r="V97" s="682"/>
      <c r="W97" s="682"/>
      <c r="X97" s="682"/>
      <c r="Y97" s="682" t="s">
        <v>1092</v>
      </c>
      <c r="Z97" s="682"/>
      <c r="AA97" s="682"/>
      <c r="AB97" s="682"/>
      <c r="AC97" s="682"/>
      <c r="AD97" s="682"/>
      <c r="AE97" s="682"/>
      <c r="AF97" s="682"/>
      <c r="AG97" s="682"/>
      <c r="AH97" s="682"/>
      <c r="AI97" s="682"/>
      <c r="AJ97" s="682"/>
      <c r="AK97" s="682"/>
      <c r="AL97" s="682"/>
      <c r="AM97" s="682"/>
      <c r="AN97" s="682"/>
      <c r="AO97" s="682"/>
      <c r="AP97" s="682"/>
      <c r="AQ97" s="682"/>
      <c r="AR97" s="682"/>
      <c r="AS97" s="682"/>
      <c r="AT97" s="682"/>
    </row>
    <row r="98" spans="1:46" s="489" customFormat="1">
      <c r="A98" s="57"/>
      <c r="B98" s="40"/>
      <c r="C98" s="257"/>
      <c r="D98" s="34" t="s">
        <v>160</v>
      </c>
      <c r="E98" s="995" t="s">
        <v>417</v>
      </c>
      <c r="F98" s="995" t="s">
        <v>417</v>
      </c>
      <c r="G98" s="355"/>
      <c r="H98" s="198"/>
      <c r="J98" s="57"/>
      <c r="K98" s="79"/>
      <c r="L98" s="57"/>
      <c r="M98" s="682"/>
      <c r="N98" s="257"/>
      <c r="O98" s="34" t="s">
        <v>160</v>
      </c>
      <c r="P98" s="995" t="s">
        <v>417</v>
      </c>
      <c r="Q98" s="995" t="s">
        <v>417</v>
      </c>
      <c r="R98" s="355"/>
      <c r="S98" s="198"/>
      <c r="U98" s="682"/>
      <c r="V98" s="682"/>
      <c r="W98" s="682"/>
      <c r="X98" s="682"/>
      <c r="Y98" s="682" t="s">
        <v>1042</v>
      </c>
      <c r="Z98" s="682"/>
      <c r="AA98" s="682"/>
      <c r="AB98" s="682"/>
      <c r="AC98" s="682"/>
      <c r="AD98" s="682"/>
      <c r="AE98" s="682"/>
      <c r="AF98" s="682"/>
      <c r="AG98" s="682"/>
      <c r="AH98" s="682"/>
      <c r="AI98" s="682"/>
      <c r="AJ98" s="682"/>
      <c r="AK98" s="682"/>
      <c r="AL98" s="682"/>
      <c r="AM98" s="682"/>
      <c r="AN98" s="682"/>
      <c r="AO98" s="682"/>
      <c r="AP98" s="682"/>
      <c r="AQ98" s="682"/>
      <c r="AR98" s="682"/>
      <c r="AS98" s="682"/>
      <c r="AT98" s="682"/>
    </row>
    <row r="99" spans="1:46" s="489" customFormat="1">
      <c r="A99" s="57"/>
      <c r="B99" s="40"/>
      <c r="C99" s="257"/>
      <c r="D99" s="34" t="s">
        <v>92</v>
      </c>
      <c r="E99" s="996">
        <v>0</v>
      </c>
      <c r="F99" s="996">
        <v>0</v>
      </c>
      <c r="G99" s="355"/>
      <c r="H99" s="198"/>
      <c r="J99" s="57"/>
      <c r="K99" s="79"/>
      <c r="L99" s="57"/>
      <c r="M99" s="682"/>
      <c r="N99" s="257"/>
      <c r="O99" s="34" t="s">
        <v>92</v>
      </c>
      <c r="P99" s="996">
        <v>0</v>
      </c>
      <c r="Q99" s="996">
        <v>0</v>
      </c>
      <c r="R99" s="355"/>
      <c r="S99" s="198"/>
      <c r="U99" s="682"/>
      <c r="V99" s="682"/>
      <c r="W99" s="682"/>
      <c r="X99" s="682"/>
      <c r="Y99" s="682" t="s">
        <v>1043</v>
      </c>
      <c r="Z99" s="682"/>
      <c r="AA99" s="682"/>
      <c r="AB99" s="682"/>
      <c r="AC99" s="682"/>
      <c r="AD99" s="682"/>
      <c r="AE99" s="682"/>
      <c r="AF99" s="682"/>
      <c r="AG99" s="682"/>
      <c r="AH99" s="682"/>
      <c r="AI99" s="682"/>
      <c r="AJ99" s="682"/>
      <c r="AK99" s="682"/>
      <c r="AL99" s="682"/>
      <c r="AM99" s="682"/>
      <c r="AN99" s="682"/>
      <c r="AO99" s="682"/>
      <c r="AP99" s="682"/>
      <c r="AQ99" s="682"/>
      <c r="AR99" s="682"/>
      <c r="AS99" s="682"/>
      <c r="AT99" s="682"/>
    </row>
    <row r="100" spans="1:46" s="489" customFormat="1">
      <c r="A100" s="57"/>
      <c r="B100" s="1018"/>
      <c r="C100" s="256"/>
      <c r="D100" s="34" t="s">
        <v>317</v>
      </c>
      <c r="E100" s="995">
        <v>0</v>
      </c>
      <c r="F100" s="995">
        <v>0</v>
      </c>
      <c r="G100" s="295"/>
      <c r="H100" s="100"/>
      <c r="I100" s="86"/>
      <c r="J100" s="224"/>
      <c r="K100" s="786"/>
      <c r="L100" s="224"/>
      <c r="M100" s="102"/>
      <c r="N100" s="256"/>
      <c r="O100" s="34" t="s">
        <v>317</v>
      </c>
      <c r="P100" s="995">
        <v>0</v>
      </c>
      <c r="Q100" s="995">
        <v>0</v>
      </c>
      <c r="R100" s="295"/>
      <c r="S100" s="100"/>
      <c r="T100" s="86"/>
      <c r="U100" s="682"/>
      <c r="V100" s="682"/>
      <c r="W100" s="682"/>
      <c r="X100" s="682"/>
      <c r="Y100" s="682" t="s">
        <v>1044</v>
      </c>
      <c r="Z100" s="682"/>
      <c r="AA100" s="682"/>
      <c r="AB100" s="682"/>
      <c r="AC100" s="682"/>
      <c r="AD100" s="682"/>
      <c r="AE100" s="682"/>
      <c r="AF100" s="682"/>
      <c r="AG100" s="682"/>
      <c r="AH100" s="682"/>
      <c r="AI100" s="682"/>
      <c r="AJ100" s="682"/>
      <c r="AK100" s="682"/>
      <c r="AL100" s="682"/>
      <c r="AM100" s="682"/>
      <c r="AN100" s="682"/>
      <c r="AO100" s="682"/>
      <c r="AP100" s="682"/>
      <c r="AQ100" s="682"/>
      <c r="AR100" s="682"/>
      <c r="AS100" s="682"/>
      <c r="AT100" s="682"/>
    </row>
    <row r="101" spans="1:46" s="489" customFormat="1">
      <c r="A101" s="57"/>
      <c r="B101" s="40"/>
      <c r="C101" s="257"/>
      <c r="D101" s="34" t="s">
        <v>66</v>
      </c>
      <c r="E101" s="1002">
        <v>15</v>
      </c>
      <c r="F101" s="1002">
        <v>15</v>
      </c>
      <c r="G101" s="355"/>
      <c r="H101" s="198"/>
      <c r="J101" s="57"/>
      <c r="K101" s="79"/>
      <c r="L101" s="57"/>
      <c r="M101" s="682"/>
      <c r="N101" s="257"/>
      <c r="O101" s="34" t="s">
        <v>66</v>
      </c>
      <c r="P101" s="1002">
        <v>15</v>
      </c>
      <c r="Q101" s="1002">
        <v>15</v>
      </c>
      <c r="R101" s="355"/>
      <c r="S101" s="198"/>
      <c r="U101" s="682"/>
      <c r="V101" s="682"/>
      <c r="W101" s="682"/>
      <c r="X101" s="682"/>
      <c r="Y101" s="682" t="s">
        <v>1045</v>
      </c>
      <c r="Z101" s="682"/>
      <c r="AA101" s="682"/>
      <c r="AB101" s="682"/>
      <c r="AC101" s="682"/>
      <c r="AD101" s="682"/>
      <c r="AE101" s="682"/>
      <c r="AF101" s="682"/>
      <c r="AG101" s="682"/>
      <c r="AH101" s="682"/>
      <c r="AI101" s="682"/>
      <c r="AJ101" s="682"/>
      <c r="AK101" s="682"/>
      <c r="AL101" s="682"/>
      <c r="AM101" s="682"/>
      <c r="AN101" s="682"/>
      <c r="AO101" s="682"/>
      <c r="AP101" s="682"/>
      <c r="AQ101" s="682"/>
      <c r="AR101" s="682"/>
      <c r="AS101" s="682"/>
      <c r="AT101" s="682"/>
    </row>
    <row r="102" spans="1:46" s="489" customFormat="1">
      <c r="A102" s="57"/>
      <c r="B102" s="40"/>
      <c r="C102" s="257"/>
      <c r="D102" s="34" t="s">
        <v>54</v>
      </c>
      <c r="E102" s="998" t="s">
        <v>18</v>
      </c>
      <c r="F102" s="998" t="s">
        <v>18</v>
      </c>
      <c r="G102" s="355"/>
      <c r="H102" s="198"/>
      <c r="J102" s="57"/>
      <c r="K102" s="79"/>
      <c r="L102" s="57"/>
      <c r="M102" s="682"/>
      <c r="N102" s="257"/>
      <c r="O102" s="34" t="s">
        <v>54</v>
      </c>
      <c r="P102" s="998" t="s">
        <v>18</v>
      </c>
      <c r="Q102" s="998" t="s">
        <v>18</v>
      </c>
      <c r="R102" s="355"/>
      <c r="S102" s="198"/>
      <c r="U102" s="682"/>
      <c r="V102" s="682"/>
      <c r="W102" s="682"/>
      <c r="X102" s="682"/>
      <c r="Y102" s="682" t="s">
        <v>1046</v>
      </c>
      <c r="Z102" s="682"/>
      <c r="AA102" s="682"/>
      <c r="AB102" s="682"/>
      <c r="AC102" s="682"/>
      <c r="AD102" s="682"/>
      <c r="AE102" s="682"/>
      <c r="AF102" s="682"/>
      <c r="AG102" s="682"/>
      <c r="AH102" s="682"/>
      <c r="AI102" s="682"/>
      <c r="AJ102" s="682"/>
      <c r="AK102" s="682"/>
      <c r="AL102" s="682"/>
      <c r="AM102" s="682"/>
      <c r="AN102" s="682"/>
      <c r="AO102" s="682"/>
      <c r="AP102" s="682"/>
      <c r="AQ102" s="682"/>
      <c r="AR102" s="682"/>
      <c r="AS102" s="682"/>
      <c r="AT102" s="682"/>
    </row>
    <row r="103" spans="1:46" s="489" customFormat="1">
      <c r="A103" s="57"/>
      <c r="B103" s="40"/>
      <c r="C103" s="257"/>
      <c r="D103" s="34" t="s">
        <v>283</v>
      </c>
      <c r="E103" s="1003">
        <v>3.9999999999999994E-2</v>
      </c>
      <c r="F103" s="1003">
        <v>3.9999999999999994E-2</v>
      </c>
      <c r="G103" s="228"/>
      <c r="H103" s="198"/>
      <c r="J103" s="57"/>
      <c r="K103" s="79"/>
      <c r="L103" s="57"/>
      <c r="M103" s="682"/>
      <c r="N103" s="257"/>
      <c r="O103" s="34" t="s">
        <v>283</v>
      </c>
      <c r="P103" s="1003">
        <v>3.9999999999999994E-2</v>
      </c>
      <c r="Q103" s="1003">
        <v>3.9999999999999994E-2</v>
      </c>
      <c r="R103" s="228"/>
      <c r="S103" s="198"/>
      <c r="U103" s="682"/>
      <c r="V103" s="682"/>
      <c r="W103" s="682"/>
      <c r="X103" s="682"/>
      <c r="Y103" s="682" t="s">
        <v>1047</v>
      </c>
      <c r="Z103" s="682"/>
      <c r="AA103" s="682"/>
      <c r="AB103" s="682"/>
      <c r="AC103" s="682"/>
      <c r="AD103" s="682"/>
      <c r="AE103" s="682"/>
      <c r="AF103" s="682"/>
      <c r="AG103" s="682"/>
      <c r="AH103" s="682"/>
      <c r="AI103" s="682"/>
      <c r="AJ103" s="682"/>
      <c r="AK103" s="682"/>
      <c r="AL103" s="682"/>
      <c r="AM103" s="682"/>
      <c r="AN103" s="682"/>
      <c r="AO103" s="682"/>
      <c r="AP103" s="682"/>
      <c r="AQ103" s="682"/>
      <c r="AR103" s="682"/>
      <c r="AS103" s="682"/>
      <c r="AT103" s="682"/>
    </row>
    <row r="104" spans="1:46" s="489" customFormat="1">
      <c r="A104" s="57"/>
      <c r="B104" s="40"/>
      <c r="C104" s="257"/>
      <c r="D104" s="34" t="s">
        <v>225</v>
      </c>
      <c r="E104" s="1000">
        <v>0</v>
      </c>
      <c r="F104" s="1000">
        <v>0</v>
      </c>
      <c r="G104" s="295"/>
      <c r="H104" s="198"/>
      <c r="J104" s="57"/>
      <c r="K104" s="79"/>
      <c r="L104" s="57"/>
      <c r="M104" s="682"/>
      <c r="N104" s="257"/>
      <c r="O104" s="34" t="s">
        <v>225</v>
      </c>
      <c r="P104" s="1000">
        <v>0</v>
      </c>
      <c r="Q104" s="1000">
        <v>0</v>
      </c>
      <c r="R104" s="295"/>
      <c r="S104" s="198"/>
      <c r="U104" s="682"/>
      <c r="V104" s="682"/>
      <c r="W104" s="682"/>
      <c r="X104" s="682"/>
      <c r="Y104" s="682" t="s">
        <v>1049</v>
      </c>
      <c r="Z104" s="682"/>
      <c r="AA104" s="682"/>
      <c r="AB104" s="682"/>
      <c r="AC104" s="682"/>
      <c r="AD104" s="682"/>
      <c r="AE104" s="682"/>
      <c r="AF104" s="682"/>
      <c r="AG104" s="682"/>
      <c r="AH104" s="682"/>
      <c r="AI104" s="682"/>
      <c r="AJ104" s="682"/>
      <c r="AK104" s="682"/>
      <c r="AL104" s="682"/>
      <c r="AM104" s="682"/>
      <c r="AN104" s="682"/>
      <c r="AO104" s="682"/>
      <c r="AP104" s="682"/>
      <c r="AQ104" s="682"/>
      <c r="AR104" s="682"/>
      <c r="AS104" s="682"/>
      <c r="AT104" s="682"/>
    </row>
    <row r="105" spans="1:46" s="489" customFormat="1">
      <c r="A105" s="57"/>
      <c r="B105" s="40"/>
      <c r="C105" s="257"/>
      <c r="D105" s="34" t="s">
        <v>186</v>
      </c>
      <c r="E105" s="1004">
        <v>0</v>
      </c>
      <c r="F105" s="1004">
        <v>0</v>
      </c>
      <c r="G105" s="295"/>
      <c r="H105" s="198"/>
      <c r="J105" s="57"/>
      <c r="K105" s="79"/>
      <c r="L105" s="57"/>
      <c r="M105" s="682"/>
      <c r="N105" s="257"/>
      <c r="O105" s="34" t="s">
        <v>186</v>
      </c>
      <c r="P105" s="1004">
        <v>0</v>
      </c>
      <c r="Q105" s="1004">
        <v>0</v>
      </c>
      <c r="R105" s="295"/>
      <c r="S105" s="198"/>
      <c r="U105" s="682"/>
      <c r="V105" s="682"/>
      <c r="W105" s="682"/>
      <c r="X105" s="682"/>
      <c r="Y105" s="682" t="s">
        <v>1050</v>
      </c>
      <c r="Z105" s="682"/>
      <c r="AA105" s="682"/>
      <c r="AB105" s="682"/>
      <c r="AC105" s="682"/>
      <c r="AD105" s="682"/>
      <c r="AE105" s="682"/>
      <c r="AF105" s="682"/>
      <c r="AG105" s="682"/>
      <c r="AH105" s="682"/>
      <c r="AI105" s="682"/>
      <c r="AJ105" s="682"/>
      <c r="AK105" s="682"/>
      <c r="AL105" s="682"/>
      <c r="AM105" s="682"/>
      <c r="AN105" s="682"/>
      <c r="AO105" s="682"/>
      <c r="AP105" s="682"/>
      <c r="AQ105" s="682"/>
      <c r="AR105" s="682"/>
      <c r="AS105" s="682"/>
      <c r="AT105" s="682"/>
    </row>
    <row r="106" spans="1:46" s="489" customFormat="1">
      <c r="A106" s="57"/>
      <c r="B106" s="40"/>
      <c r="C106" s="257"/>
      <c r="D106" s="34"/>
      <c r="E106" s="34"/>
      <c r="F106" s="34"/>
      <c r="G106" s="295"/>
      <c r="H106" s="198"/>
      <c r="J106" s="57"/>
      <c r="K106" s="79"/>
      <c r="L106" s="57"/>
      <c r="M106" s="682"/>
      <c r="N106" s="257"/>
      <c r="O106" s="34"/>
      <c r="P106" s="34"/>
      <c r="Q106" s="34"/>
      <c r="R106" s="295"/>
      <c r="S106" s="198"/>
      <c r="U106" s="682"/>
      <c r="V106" s="682"/>
      <c r="W106" s="682"/>
      <c r="X106" s="682"/>
      <c r="Y106" s="682" t="s">
        <v>1051</v>
      </c>
      <c r="Z106" s="682"/>
      <c r="AA106" s="682"/>
      <c r="AB106" s="682"/>
      <c r="AC106" s="682"/>
      <c r="AD106" s="682"/>
      <c r="AE106" s="682"/>
      <c r="AF106" s="682"/>
      <c r="AG106" s="682"/>
      <c r="AH106" s="682"/>
      <c r="AI106" s="682"/>
      <c r="AJ106" s="682"/>
      <c r="AK106" s="682"/>
      <c r="AL106" s="682"/>
      <c r="AM106" s="682"/>
      <c r="AN106" s="682"/>
      <c r="AO106" s="682"/>
      <c r="AP106" s="682"/>
      <c r="AQ106" s="682"/>
      <c r="AR106" s="682"/>
      <c r="AS106" s="682"/>
      <c r="AT106" s="682"/>
    </row>
    <row r="107" spans="1:46" s="489" customFormat="1">
      <c r="A107" s="57"/>
      <c r="B107" s="40"/>
      <c r="C107" s="257"/>
      <c r="D107" s="772" t="s">
        <v>223</v>
      </c>
      <c r="E107" s="34"/>
      <c r="F107" s="34"/>
      <c r="G107" s="295"/>
      <c r="H107" s="198"/>
      <c r="J107" s="57"/>
      <c r="K107" s="79"/>
      <c r="L107" s="57"/>
      <c r="M107" s="682"/>
      <c r="N107" s="257"/>
      <c r="O107" s="772" t="s">
        <v>223</v>
      </c>
      <c r="P107" s="34"/>
      <c r="Q107" s="34"/>
      <c r="R107" s="295"/>
      <c r="S107" s="198"/>
      <c r="U107" s="682"/>
      <c r="V107" s="682"/>
      <c r="W107" s="682"/>
      <c r="X107" s="682"/>
      <c r="Y107" s="682" t="s">
        <v>1052</v>
      </c>
      <c r="Z107" s="682"/>
      <c r="AA107" s="682"/>
      <c r="AB107" s="682"/>
      <c r="AC107" s="682"/>
      <c r="AD107" s="682"/>
      <c r="AE107" s="682"/>
      <c r="AF107" s="682"/>
      <c r="AG107" s="682"/>
      <c r="AH107" s="682"/>
      <c r="AI107" s="682"/>
      <c r="AJ107" s="682"/>
      <c r="AK107" s="682"/>
      <c r="AL107" s="682"/>
      <c r="AM107" s="682"/>
      <c r="AN107" s="682"/>
      <c r="AO107" s="682"/>
      <c r="AP107" s="682"/>
      <c r="AQ107" s="682"/>
      <c r="AR107" s="682"/>
      <c r="AS107" s="682"/>
      <c r="AT107" s="682"/>
    </row>
    <row r="108" spans="1:46" s="489" customFormat="1" hidden="1">
      <c r="A108" s="57"/>
      <c r="B108" s="40"/>
      <c r="C108" s="257"/>
      <c r="D108" s="48" t="s">
        <v>211</v>
      </c>
      <c r="E108" s="186" t="s">
        <v>17</v>
      </c>
      <c r="F108" s="186" t="s">
        <v>17</v>
      </c>
      <c r="G108" s="198"/>
      <c r="H108" s="198"/>
      <c r="J108" s="57"/>
      <c r="K108" s="79"/>
      <c r="L108" s="57"/>
      <c r="M108" s="682"/>
      <c r="N108" s="257"/>
      <c r="O108" s="48" t="s">
        <v>211</v>
      </c>
      <c r="P108" s="186" t="s">
        <v>17</v>
      </c>
      <c r="Q108" s="186" t="s">
        <v>17</v>
      </c>
      <c r="R108" s="198"/>
      <c r="S108" s="198"/>
      <c r="U108" s="682"/>
      <c r="V108" s="682"/>
      <c r="W108" s="682"/>
      <c r="X108" s="682"/>
      <c r="Y108" s="682" t="s">
        <v>1053</v>
      </c>
      <c r="Z108" s="682"/>
      <c r="AA108" s="682"/>
      <c r="AB108" s="682"/>
      <c r="AC108" s="682"/>
      <c r="AD108" s="682"/>
      <c r="AE108" s="682"/>
      <c r="AF108" s="682"/>
      <c r="AG108" s="682"/>
      <c r="AH108" s="682"/>
      <c r="AI108" s="682"/>
      <c r="AJ108" s="682"/>
      <c r="AK108" s="682"/>
      <c r="AL108" s="682"/>
      <c r="AM108" s="682"/>
      <c r="AN108" s="682"/>
      <c r="AO108" s="682"/>
      <c r="AP108" s="682"/>
      <c r="AQ108" s="682"/>
      <c r="AR108" s="682"/>
      <c r="AS108" s="682"/>
      <c r="AT108" s="682"/>
    </row>
    <row r="109" spans="1:46" s="489" customFormat="1">
      <c r="A109" s="57"/>
      <c r="B109" s="40"/>
      <c r="C109" s="257"/>
      <c r="D109" s="34" t="s">
        <v>142</v>
      </c>
      <c r="E109" s="993">
        <v>0.5</v>
      </c>
      <c r="F109" s="993">
        <v>0</v>
      </c>
      <c r="G109" s="198"/>
      <c r="H109" s="198"/>
      <c r="J109" s="57"/>
      <c r="K109" s="79"/>
      <c r="L109" s="57"/>
      <c r="M109" s="682"/>
      <c r="N109" s="257"/>
      <c r="O109" s="34" t="s">
        <v>142</v>
      </c>
      <c r="P109" s="993">
        <v>0.5</v>
      </c>
      <c r="Q109" s="993">
        <v>0</v>
      </c>
      <c r="R109" s="198"/>
      <c r="S109" s="198"/>
      <c r="U109" s="682"/>
      <c r="V109" s="682"/>
      <c r="W109" s="682"/>
      <c r="X109" s="682"/>
      <c r="Y109" s="682" t="s">
        <v>1054</v>
      </c>
      <c r="Z109" s="682"/>
      <c r="AA109" s="682"/>
      <c r="AB109" s="682"/>
      <c r="AC109" s="682"/>
      <c r="AD109" s="682"/>
      <c r="AE109" s="682"/>
      <c r="AF109" s="682"/>
      <c r="AG109" s="682"/>
      <c r="AH109" s="682"/>
      <c r="AI109" s="682"/>
      <c r="AJ109" s="682"/>
      <c r="AK109" s="682"/>
      <c r="AL109" s="682"/>
      <c r="AM109" s="682"/>
      <c r="AN109" s="682"/>
      <c r="AO109" s="682"/>
      <c r="AP109" s="682"/>
      <c r="AQ109" s="682"/>
      <c r="AR109" s="682"/>
      <c r="AS109" s="682"/>
      <c r="AT109" s="682"/>
    </row>
    <row r="110" spans="1:46" s="489" customFormat="1">
      <c r="A110" s="57"/>
      <c r="B110" s="40"/>
      <c r="C110" s="257"/>
      <c r="D110" s="34" t="s">
        <v>267</v>
      </c>
      <c r="E110" s="994">
        <v>0</v>
      </c>
      <c r="F110" s="994">
        <v>0</v>
      </c>
      <c r="G110" s="228"/>
      <c r="H110" s="198"/>
      <c r="J110" s="57"/>
      <c r="K110" s="79"/>
      <c r="L110" s="57"/>
      <c r="M110" s="682"/>
      <c r="N110" s="257"/>
      <c r="O110" s="34" t="s">
        <v>267</v>
      </c>
      <c r="P110" s="994">
        <v>0</v>
      </c>
      <c r="Q110" s="994">
        <v>0</v>
      </c>
      <c r="R110" s="228"/>
      <c r="S110" s="198"/>
      <c r="U110" s="682"/>
      <c r="V110" s="682"/>
      <c r="W110" s="682"/>
      <c r="X110" s="682"/>
      <c r="Y110" s="682" t="s">
        <v>1101</v>
      </c>
      <c r="Z110" s="682"/>
      <c r="AA110" s="682"/>
      <c r="AB110" s="682"/>
      <c r="AC110" s="682"/>
      <c r="AD110" s="682"/>
      <c r="AE110" s="682"/>
      <c r="AF110" s="682"/>
      <c r="AG110" s="682"/>
      <c r="AH110" s="682"/>
      <c r="AI110" s="682"/>
      <c r="AJ110" s="682"/>
      <c r="AK110" s="682"/>
      <c r="AL110" s="682"/>
      <c r="AM110" s="682"/>
      <c r="AN110" s="682"/>
      <c r="AO110" s="682"/>
      <c r="AP110" s="682"/>
      <c r="AQ110" s="682"/>
      <c r="AR110" s="682"/>
      <c r="AS110" s="682"/>
      <c r="AT110" s="682"/>
    </row>
    <row r="111" spans="1:46" s="489" customFormat="1">
      <c r="A111" s="57"/>
      <c r="B111" s="40"/>
      <c r="C111" s="257"/>
      <c r="D111" s="34" t="s">
        <v>160</v>
      </c>
      <c r="E111" s="995" t="s">
        <v>417</v>
      </c>
      <c r="F111" s="995" t="s">
        <v>417</v>
      </c>
      <c r="G111" s="355"/>
      <c r="H111" s="198"/>
      <c r="J111" s="57"/>
      <c r="K111" s="79"/>
      <c r="L111" s="57"/>
      <c r="M111" s="682"/>
      <c r="N111" s="257"/>
      <c r="O111" s="34" t="s">
        <v>160</v>
      </c>
      <c r="P111" s="995" t="s">
        <v>417</v>
      </c>
      <c r="Q111" s="995" t="s">
        <v>417</v>
      </c>
      <c r="R111" s="355"/>
      <c r="S111" s="198"/>
      <c r="U111" s="682"/>
      <c r="V111" s="682"/>
      <c r="W111" s="682"/>
      <c r="X111" s="682"/>
      <c r="Y111" s="682" t="s">
        <v>1055</v>
      </c>
      <c r="Z111" s="682"/>
      <c r="AA111" s="682"/>
      <c r="AB111" s="682"/>
      <c r="AC111" s="682"/>
      <c r="AD111" s="682"/>
      <c r="AE111" s="682"/>
      <c r="AF111" s="682"/>
      <c r="AG111" s="682"/>
      <c r="AH111" s="682"/>
      <c r="AI111" s="682"/>
      <c r="AJ111" s="682"/>
      <c r="AK111" s="682"/>
      <c r="AL111" s="682"/>
      <c r="AM111" s="682"/>
      <c r="AN111" s="682"/>
      <c r="AO111" s="682"/>
      <c r="AP111" s="682"/>
      <c r="AQ111" s="682"/>
      <c r="AR111" s="682"/>
      <c r="AS111" s="682"/>
      <c r="AT111" s="682"/>
    </row>
    <row r="112" spans="1:46" s="489" customFormat="1">
      <c r="A112" s="57"/>
      <c r="B112" s="40"/>
      <c r="C112" s="257"/>
      <c r="D112" s="34" t="s">
        <v>92</v>
      </c>
      <c r="E112" s="996">
        <v>0.04</v>
      </c>
      <c r="F112" s="996">
        <v>0</v>
      </c>
      <c r="G112" s="355"/>
      <c r="H112" s="198"/>
      <c r="J112" s="57"/>
      <c r="K112" s="79"/>
      <c r="L112" s="57"/>
      <c r="M112" s="682"/>
      <c r="N112" s="257"/>
      <c r="O112" s="34" t="s">
        <v>92</v>
      </c>
      <c r="P112" s="996">
        <v>0.04</v>
      </c>
      <c r="Q112" s="996">
        <v>0</v>
      </c>
      <c r="R112" s="355"/>
      <c r="S112" s="198"/>
      <c r="U112" s="682"/>
      <c r="V112" s="682"/>
      <c r="W112" s="682"/>
      <c r="X112" s="682"/>
      <c r="Y112" s="682" t="s">
        <v>1056</v>
      </c>
      <c r="Z112" s="682"/>
      <c r="AA112" s="682"/>
      <c r="AB112" s="682"/>
      <c r="AC112" s="682"/>
      <c r="AD112" s="682"/>
      <c r="AE112" s="682"/>
      <c r="AF112" s="682"/>
      <c r="AG112" s="682"/>
      <c r="AH112" s="682"/>
      <c r="AI112" s="682"/>
      <c r="AJ112" s="682"/>
      <c r="AK112" s="682"/>
      <c r="AL112" s="682"/>
      <c r="AM112" s="682"/>
      <c r="AN112" s="682"/>
      <c r="AO112" s="682"/>
      <c r="AP112" s="682"/>
      <c r="AQ112" s="682"/>
      <c r="AR112" s="682"/>
      <c r="AS112" s="682"/>
      <c r="AT112" s="682"/>
    </row>
    <row r="113" spans="1:46" s="489" customFormat="1">
      <c r="A113" s="57"/>
      <c r="B113" s="40"/>
      <c r="C113" s="257"/>
      <c r="D113" s="34" t="s">
        <v>316</v>
      </c>
      <c r="E113" s="995">
        <v>0</v>
      </c>
      <c r="F113" s="995">
        <v>0</v>
      </c>
      <c r="G113" s="198"/>
      <c r="H113" s="198"/>
      <c r="J113" s="57"/>
      <c r="K113" s="79"/>
      <c r="L113" s="57"/>
      <c r="M113" s="682"/>
      <c r="N113" s="257"/>
      <c r="O113" s="34" t="s">
        <v>316</v>
      </c>
      <c r="P113" s="995">
        <v>0</v>
      </c>
      <c r="Q113" s="995">
        <v>0</v>
      </c>
      <c r="R113" s="198"/>
      <c r="S113" s="198"/>
      <c r="U113" s="682"/>
      <c r="V113" s="682"/>
      <c r="W113" s="682"/>
      <c r="X113" s="682"/>
      <c r="Y113" s="682" t="s">
        <v>1057</v>
      </c>
      <c r="Z113" s="978"/>
      <c r="AA113" s="682"/>
      <c r="AB113" s="682"/>
      <c r="AC113" s="682"/>
      <c r="AD113" s="682"/>
      <c r="AE113" s="682"/>
      <c r="AF113" s="682"/>
      <c r="AG113" s="682"/>
      <c r="AH113" s="682"/>
      <c r="AI113" s="682"/>
      <c r="AJ113" s="682"/>
      <c r="AK113" s="682"/>
      <c r="AL113" s="682"/>
      <c r="AM113" s="682"/>
      <c r="AN113" s="682"/>
      <c r="AO113" s="682"/>
      <c r="AP113" s="682"/>
      <c r="AQ113" s="682"/>
      <c r="AR113" s="682"/>
      <c r="AS113" s="682"/>
      <c r="AT113" s="682"/>
    </row>
    <row r="114" spans="1:46" s="489" customFormat="1">
      <c r="A114" s="57"/>
      <c r="B114" s="40"/>
      <c r="C114" s="257"/>
      <c r="D114" s="34" t="s">
        <v>66</v>
      </c>
      <c r="E114" s="997">
        <v>10</v>
      </c>
      <c r="F114" s="997">
        <v>10</v>
      </c>
      <c r="G114" s="355"/>
      <c r="H114" s="198"/>
      <c r="J114" s="57"/>
      <c r="K114" s="79"/>
      <c r="L114" s="57"/>
      <c r="M114" s="682"/>
      <c r="N114" s="257"/>
      <c r="O114" s="34" t="s">
        <v>66</v>
      </c>
      <c r="P114" s="997">
        <v>10</v>
      </c>
      <c r="Q114" s="997">
        <v>10</v>
      </c>
      <c r="R114" s="355"/>
      <c r="S114" s="198"/>
      <c r="U114" s="682"/>
      <c r="V114" s="682"/>
      <c r="W114" s="682"/>
      <c r="X114" s="682"/>
      <c r="Y114" s="682" t="s">
        <v>1058</v>
      </c>
      <c r="Z114" s="682"/>
      <c r="AA114" s="682"/>
      <c r="AB114" s="682"/>
      <c r="AC114" s="682"/>
      <c r="AD114" s="682"/>
      <c r="AE114" s="682"/>
      <c r="AF114" s="682"/>
      <c r="AG114" s="682"/>
      <c r="AH114" s="682"/>
      <c r="AI114" s="682"/>
      <c r="AJ114" s="682"/>
      <c r="AK114" s="682"/>
      <c r="AL114" s="682"/>
      <c r="AM114" s="682"/>
      <c r="AN114" s="682"/>
      <c r="AO114" s="682"/>
      <c r="AP114" s="682"/>
      <c r="AQ114" s="682"/>
      <c r="AR114" s="682"/>
      <c r="AS114" s="682"/>
      <c r="AT114" s="682"/>
    </row>
    <row r="115" spans="1:46" s="489" customFormat="1">
      <c r="A115" s="57"/>
      <c r="B115" s="40"/>
      <c r="C115" s="257"/>
      <c r="D115" s="34" t="s">
        <v>54</v>
      </c>
      <c r="E115" s="998" t="s">
        <v>18</v>
      </c>
      <c r="F115" s="998" t="s">
        <v>18</v>
      </c>
      <c r="G115" s="355"/>
      <c r="H115" s="198"/>
      <c r="J115" s="57"/>
      <c r="K115" s="79"/>
      <c r="L115" s="57"/>
      <c r="M115" s="682"/>
      <c r="N115" s="257"/>
      <c r="O115" s="34" t="s">
        <v>54</v>
      </c>
      <c r="P115" s="998" t="s">
        <v>18</v>
      </c>
      <c r="Q115" s="998" t="s">
        <v>18</v>
      </c>
      <c r="R115" s="355"/>
      <c r="S115" s="198"/>
      <c r="U115" s="682"/>
      <c r="V115" s="682"/>
      <c r="W115" s="682"/>
      <c r="X115" s="682"/>
      <c r="Y115" s="682" t="s">
        <v>1059</v>
      </c>
      <c r="Z115" s="682"/>
      <c r="AA115" s="682"/>
      <c r="AB115" s="682"/>
      <c r="AC115" s="682"/>
      <c r="AD115" s="682"/>
      <c r="AE115" s="682"/>
      <c r="AF115" s="682"/>
      <c r="AG115" s="682"/>
      <c r="AH115" s="682"/>
      <c r="AI115" s="682"/>
      <c r="AJ115" s="682"/>
      <c r="AK115" s="682"/>
      <c r="AL115" s="682"/>
      <c r="AM115" s="682"/>
      <c r="AN115" s="682"/>
      <c r="AO115" s="682"/>
      <c r="AP115" s="682"/>
      <c r="AQ115" s="682"/>
      <c r="AR115" s="682"/>
      <c r="AS115" s="682"/>
      <c r="AT115" s="682"/>
    </row>
    <row r="116" spans="1:46" s="489" customFormat="1">
      <c r="A116" s="57"/>
      <c r="B116" s="40"/>
      <c r="C116" s="257"/>
      <c r="D116" s="34" t="s">
        <v>283</v>
      </c>
      <c r="E116" s="999">
        <v>0</v>
      </c>
      <c r="F116" s="999">
        <v>0</v>
      </c>
      <c r="G116" s="355"/>
      <c r="H116" s="198"/>
      <c r="J116" s="57"/>
      <c r="K116" s="79"/>
      <c r="L116" s="57"/>
      <c r="M116" s="682"/>
      <c r="N116" s="257"/>
      <c r="O116" s="34" t="s">
        <v>283</v>
      </c>
      <c r="P116" s="999">
        <v>0</v>
      </c>
      <c r="Q116" s="999">
        <v>0</v>
      </c>
      <c r="R116" s="355"/>
      <c r="S116" s="198"/>
      <c r="U116" s="682"/>
      <c r="V116" s="682"/>
      <c r="W116" s="682"/>
      <c r="X116" s="682"/>
      <c r="Y116" s="978" t="s">
        <v>1060</v>
      </c>
      <c r="Z116" s="682"/>
      <c r="AA116" s="682"/>
      <c r="AB116" s="682"/>
      <c r="AC116" s="682"/>
      <c r="AD116" s="682"/>
      <c r="AE116" s="682"/>
      <c r="AF116" s="682"/>
      <c r="AG116" s="682"/>
      <c r="AH116" s="682"/>
      <c r="AI116" s="682"/>
      <c r="AJ116" s="682"/>
      <c r="AK116" s="682"/>
      <c r="AL116" s="682"/>
      <c r="AM116" s="682"/>
      <c r="AN116" s="682"/>
      <c r="AO116" s="682"/>
      <c r="AP116" s="682"/>
      <c r="AQ116" s="682"/>
      <c r="AR116" s="682"/>
      <c r="AS116" s="682"/>
      <c r="AT116" s="682"/>
    </row>
    <row r="117" spans="1:46" s="489" customFormat="1">
      <c r="A117" s="57"/>
      <c r="B117" s="40"/>
      <c r="C117" s="257"/>
      <c r="D117" s="34" t="s">
        <v>225</v>
      </c>
      <c r="E117" s="1000">
        <v>0</v>
      </c>
      <c r="F117" s="1000">
        <v>0</v>
      </c>
      <c r="G117" s="198"/>
      <c r="H117" s="198"/>
      <c r="J117" s="57"/>
      <c r="K117" s="79"/>
      <c r="L117" s="57"/>
      <c r="M117" s="682"/>
      <c r="N117" s="257"/>
      <c r="O117" s="34" t="s">
        <v>225</v>
      </c>
      <c r="P117" s="1000">
        <v>0</v>
      </c>
      <c r="Q117" s="1000">
        <v>0</v>
      </c>
      <c r="R117" s="198"/>
      <c r="S117" s="198"/>
      <c r="U117" s="682"/>
      <c r="V117" s="682"/>
      <c r="W117" s="682"/>
      <c r="X117" s="682"/>
      <c r="Y117" s="682" t="s">
        <v>1061</v>
      </c>
      <c r="Z117" s="682"/>
      <c r="AA117" s="682"/>
      <c r="AB117" s="682"/>
      <c r="AC117" s="682"/>
      <c r="AD117" s="682"/>
      <c r="AE117" s="682"/>
      <c r="AF117" s="682"/>
      <c r="AG117" s="682"/>
      <c r="AH117" s="682"/>
      <c r="AI117" s="682"/>
      <c r="AJ117" s="682"/>
      <c r="AK117" s="682"/>
      <c r="AL117" s="682"/>
      <c r="AM117" s="682"/>
      <c r="AN117" s="682"/>
      <c r="AO117" s="682"/>
      <c r="AP117" s="682"/>
      <c r="AQ117" s="682"/>
      <c r="AR117" s="682"/>
      <c r="AS117" s="682"/>
      <c r="AT117" s="682"/>
    </row>
    <row r="118" spans="1:46" s="489" customFormat="1">
      <c r="A118" s="57"/>
      <c r="B118" s="40"/>
      <c r="C118" s="257"/>
      <c r="D118" s="34" t="s">
        <v>226</v>
      </c>
      <c r="E118" s="1000">
        <v>0</v>
      </c>
      <c r="F118" s="1000">
        <v>0</v>
      </c>
      <c r="G118" s="198"/>
      <c r="H118" s="198"/>
      <c r="J118" s="57"/>
      <c r="K118" s="79"/>
      <c r="L118" s="57"/>
      <c r="M118" s="682"/>
      <c r="N118" s="257"/>
      <c r="O118" s="34" t="s">
        <v>226</v>
      </c>
      <c r="P118" s="1000">
        <v>0</v>
      </c>
      <c r="Q118" s="1000">
        <v>0</v>
      </c>
      <c r="R118" s="198"/>
      <c r="S118" s="198"/>
      <c r="U118" s="682"/>
      <c r="V118" s="682"/>
      <c r="W118" s="682"/>
      <c r="X118" s="682"/>
      <c r="Y118" s="682" t="s">
        <v>1062</v>
      </c>
      <c r="Z118" s="682"/>
      <c r="AA118" s="682"/>
      <c r="AB118" s="682"/>
      <c r="AC118" s="682"/>
      <c r="AD118" s="682"/>
      <c r="AE118" s="682"/>
      <c r="AF118" s="682"/>
      <c r="AG118" s="682"/>
      <c r="AH118" s="682"/>
      <c r="AI118" s="682"/>
      <c r="AJ118" s="682"/>
      <c r="AK118" s="682"/>
      <c r="AL118" s="682"/>
      <c r="AM118" s="682"/>
      <c r="AN118" s="682"/>
      <c r="AO118" s="682"/>
      <c r="AP118" s="682"/>
      <c r="AQ118" s="682"/>
      <c r="AR118" s="682"/>
      <c r="AS118" s="682"/>
      <c r="AT118" s="682"/>
    </row>
    <row r="119" spans="1:46" s="489" customFormat="1">
      <c r="A119" s="57"/>
      <c r="B119" s="40"/>
      <c r="C119" s="257"/>
      <c r="D119" s="194" t="s">
        <v>185</v>
      </c>
      <c r="E119" s="1001">
        <v>0</v>
      </c>
      <c r="F119" s="1001">
        <v>0</v>
      </c>
      <c r="G119" s="295"/>
      <c r="H119" s="198"/>
      <c r="J119" s="57"/>
      <c r="K119" s="79"/>
      <c r="L119" s="57"/>
      <c r="M119" s="682"/>
      <c r="N119" s="257"/>
      <c r="O119" s="194" t="s">
        <v>185</v>
      </c>
      <c r="P119" s="1001">
        <v>0</v>
      </c>
      <c r="Q119" s="1001">
        <v>0</v>
      </c>
      <c r="R119" s="295"/>
      <c r="S119" s="198"/>
      <c r="U119" s="682"/>
      <c r="V119" s="682"/>
      <c r="W119" s="682"/>
      <c r="X119" s="682"/>
      <c r="Y119" s="682" t="s">
        <v>1063</v>
      </c>
      <c r="Z119" s="682"/>
      <c r="AA119" s="682"/>
      <c r="AB119" s="682"/>
      <c r="AC119" s="682"/>
      <c r="AD119" s="682"/>
      <c r="AE119" s="682"/>
      <c r="AF119" s="682"/>
      <c r="AG119" s="682"/>
      <c r="AH119" s="682"/>
      <c r="AI119" s="682"/>
      <c r="AJ119" s="682"/>
      <c r="AK119" s="682"/>
      <c r="AL119" s="682"/>
      <c r="AM119" s="682"/>
      <c r="AN119" s="682"/>
      <c r="AO119" s="682"/>
      <c r="AP119" s="682"/>
      <c r="AQ119" s="682"/>
      <c r="AR119" s="682"/>
      <c r="AS119" s="682"/>
      <c r="AT119" s="682"/>
    </row>
    <row r="120" spans="1:46" s="489" customFormat="1">
      <c r="A120" s="57"/>
      <c r="B120" s="40"/>
      <c r="C120" s="257"/>
      <c r="D120" s="194" t="s">
        <v>186</v>
      </c>
      <c r="E120" s="1001">
        <v>0</v>
      </c>
      <c r="F120" s="1001">
        <v>0</v>
      </c>
      <c r="G120" s="295"/>
      <c r="H120" s="198"/>
      <c r="J120" s="57"/>
      <c r="K120" s="79"/>
      <c r="L120" s="57"/>
      <c r="M120" s="682"/>
      <c r="N120" s="257"/>
      <c r="O120" s="194" t="s">
        <v>186</v>
      </c>
      <c r="P120" s="1001">
        <v>0</v>
      </c>
      <c r="Q120" s="1001">
        <v>0</v>
      </c>
      <c r="R120" s="295"/>
      <c r="S120" s="198"/>
      <c r="U120" s="682"/>
      <c r="V120" s="682"/>
      <c r="W120" s="682"/>
      <c r="X120" s="682"/>
      <c r="Y120" s="682" t="s">
        <v>1064</v>
      </c>
      <c r="Z120" s="682"/>
      <c r="AA120" s="682"/>
      <c r="AB120" s="682"/>
      <c r="AC120" s="682"/>
      <c r="AD120" s="682"/>
      <c r="AE120" s="682"/>
      <c r="AF120" s="682"/>
      <c r="AG120" s="682"/>
      <c r="AH120" s="682"/>
      <c r="AI120" s="682"/>
      <c r="AJ120" s="682"/>
      <c r="AK120" s="682"/>
      <c r="AL120" s="682"/>
      <c r="AM120" s="682"/>
      <c r="AN120" s="682"/>
      <c r="AO120" s="682"/>
      <c r="AP120" s="682"/>
      <c r="AQ120" s="682"/>
      <c r="AR120" s="682"/>
      <c r="AS120" s="682"/>
      <c r="AT120" s="682"/>
    </row>
    <row r="121" spans="1:46" s="489" customFormat="1">
      <c r="A121" s="57"/>
      <c r="B121" s="40"/>
      <c r="C121" s="682"/>
      <c r="D121" s="34"/>
      <c r="E121" s="407"/>
      <c r="F121" s="36"/>
      <c r="G121" s="198"/>
      <c r="H121" s="198"/>
      <c r="J121" s="57"/>
      <c r="K121" s="79"/>
      <c r="L121" s="57"/>
      <c r="M121" s="682"/>
      <c r="N121" s="682"/>
      <c r="O121" s="34"/>
      <c r="P121" s="407"/>
      <c r="Q121" s="36"/>
      <c r="R121" s="198"/>
      <c r="S121" s="198"/>
      <c r="U121" s="682"/>
      <c r="V121" s="682"/>
      <c r="W121" s="682"/>
      <c r="X121" s="682"/>
      <c r="Y121" s="682" t="s">
        <v>1065</v>
      </c>
      <c r="Z121" s="682"/>
      <c r="AA121" s="682"/>
      <c r="AB121" s="682"/>
      <c r="AC121" s="682"/>
      <c r="AD121" s="682"/>
      <c r="AE121" s="682"/>
      <c r="AF121" s="682"/>
      <c r="AG121" s="682"/>
      <c r="AH121" s="682"/>
      <c r="AI121" s="682"/>
      <c r="AJ121" s="682"/>
      <c r="AK121" s="682"/>
      <c r="AL121" s="682"/>
      <c r="AM121" s="682"/>
      <c r="AN121" s="682"/>
      <c r="AO121" s="682"/>
      <c r="AP121" s="682"/>
      <c r="AQ121" s="682"/>
      <c r="AR121" s="682"/>
      <c r="AS121" s="682"/>
      <c r="AT121" s="682"/>
    </row>
    <row r="122" spans="1:46" s="682" customFormat="1">
      <c r="A122" s="57"/>
      <c r="B122" s="40"/>
      <c r="D122" s="37"/>
      <c r="E122" s="36"/>
      <c r="F122" s="36"/>
      <c r="G122" s="198"/>
      <c r="H122" s="198"/>
      <c r="J122" s="57"/>
      <c r="K122" s="79"/>
      <c r="L122" s="57"/>
      <c r="O122" s="37"/>
      <c r="P122" s="36"/>
      <c r="Q122" s="36"/>
      <c r="R122" s="198"/>
      <c r="S122" s="198"/>
      <c r="Y122" s="682" t="s">
        <v>1066</v>
      </c>
    </row>
    <row r="123" spans="1:46" s="267" customFormat="1" ht="21.75" customHeight="1">
      <c r="A123" s="427"/>
      <c r="B123" s="264"/>
      <c r="C123" s="264" t="s">
        <v>97</v>
      </c>
      <c r="D123" s="265"/>
      <c r="E123" s="265"/>
      <c r="F123" s="265"/>
      <c r="G123" s="265"/>
      <c r="H123" s="265"/>
      <c r="I123" s="265"/>
      <c r="J123" s="800"/>
      <c r="K123" s="791"/>
      <c r="L123" s="800"/>
      <c r="M123" s="775"/>
      <c r="N123" s="775" t="s">
        <v>97</v>
      </c>
      <c r="O123" s="778"/>
      <c r="P123" s="778"/>
      <c r="Q123" s="778"/>
      <c r="R123" s="778"/>
      <c r="S123" s="778"/>
      <c r="T123" s="778"/>
      <c r="U123" s="978"/>
      <c r="V123" s="978"/>
      <c r="W123" s="682"/>
      <c r="X123" s="682"/>
      <c r="Y123" s="682" t="s">
        <v>1067</v>
      </c>
      <c r="Z123" s="682"/>
      <c r="AA123" s="978"/>
      <c r="AB123" s="978"/>
      <c r="AC123" s="978"/>
      <c r="AD123" s="978"/>
      <c r="AE123" s="978"/>
      <c r="AF123" s="978"/>
      <c r="AG123" s="978"/>
      <c r="AH123" s="978"/>
      <c r="AI123" s="978"/>
      <c r="AJ123" s="978"/>
      <c r="AK123" s="978"/>
      <c r="AL123" s="978"/>
      <c r="AM123" s="978"/>
      <c r="AN123" s="978"/>
      <c r="AO123" s="978"/>
      <c r="AP123" s="978"/>
      <c r="AQ123" s="978"/>
      <c r="AR123" s="978"/>
      <c r="AS123" s="978"/>
      <c r="AT123" s="978"/>
    </row>
    <row r="124" spans="1:46" s="489" customFormat="1">
      <c r="A124" s="57"/>
      <c r="B124" s="682"/>
      <c r="C124" s="682"/>
      <c r="D124" s="682"/>
      <c r="E124" s="407"/>
      <c r="F124" s="407"/>
      <c r="H124" s="198"/>
      <c r="J124" s="57"/>
      <c r="K124" s="79"/>
      <c r="L124" s="57"/>
      <c r="M124" s="682"/>
      <c r="N124" s="682"/>
      <c r="O124" s="682"/>
      <c r="P124" s="407"/>
      <c r="Q124" s="407"/>
      <c r="S124" s="198"/>
      <c r="U124" s="682"/>
      <c r="V124" s="682"/>
      <c r="W124" s="682"/>
      <c r="X124" s="682"/>
      <c r="Y124" s="682" t="s">
        <v>1068</v>
      </c>
      <c r="Z124" s="682"/>
      <c r="AA124" s="682"/>
      <c r="AB124" s="682"/>
      <c r="AC124" s="682"/>
      <c r="AD124" s="682"/>
      <c r="AE124" s="682"/>
      <c r="AF124" s="682"/>
      <c r="AG124" s="682"/>
      <c r="AH124" s="682"/>
      <c r="AI124" s="682"/>
      <c r="AJ124" s="682"/>
      <c r="AK124" s="682"/>
      <c r="AL124" s="682"/>
      <c r="AM124" s="682"/>
      <c r="AN124" s="682"/>
      <c r="AO124" s="682"/>
      <c r="AP124" s="682"/>
      <c r="AQ124" s="682"/>
      <c r="AR124" s="682"/>
      <c r="AS124" s="682"/>
      <c r="AT124" s="682"/>
    </row>
    <row r="125" spans="1:46" s="489" customFormat="1">
      <c r="A125" s="57"/>
      <c r="B125" s="682"/>
      <c r="C125" s="682"/>
      <c r="D125" s="33" t="s">
        <v>53</v>
      </c>
      <c r="E125" s="407" t="s">
        <v>52</v>
      </c>
      <c r="F125" s="407"/>
      <c r="G125" s="682"/>
      <c r="H125" s="198"/>
      <c r="J125" s="57"/>
      <c r="K125" s="79"/>
      <c r="L125" s="57"/>
      <c r="M125" s="682"/>
      <c r="N125" s="682"/>
      <c r="O125" s="33" t="s">
        <v>53</v>
      </c>
      <c r="P125" s="407" t="s">
        <v>52</v>
      </c>
      <c r="Q125" s="407"/>
      <c r="R125" s="682"/>
      <c r="S125" s="198"/>
      <c r="U125" s="682"/>
      <c r="V125" s="682"/>
      <c r="W125" s="682"/>
      <c r="X125" s="682"/>
      <c r="Y125" s="682" t="s">
        <v>1069</v>
      </c>
      <c r="Z125" s="682"/>
      <c r="AA125" s="682"/>
      <c r="AB125" s="682"/>
      <c r="AC125" s="682"/>
      <c r="AD125" s="682"/>
      <c r="AE125" s="682"/>
      <c r="AF125" s="682"/>
      <c r="AG125" s="682"/>
      <c r="AH125" s="682"/>
      <c r="AI125" s="682"/>
      <c r="AJ125" s="682"/>
      <c r="AK125" s="682"/>
      <c r="AL125" s="682"/>
      <c r="AM125" s="682"/>
      <c r="AN125" s="682"/>
      <c r="AO125" s="682"/>
      <c r="AP125" s="682"/>
      <c r="AQ125" s="682"/>
      <c r="AR125" s="682"/>
      <c r="AS125" s="682"/>
      <c r="AT125" s="682"/>
    </row>
    <row r="126" spans="1:46" s="489" customFormat="1">
      <c r="A126" s="57"/>
      <c r="B126" s="682"/>
      <c r="C126" s="257"/>
      <c r="D126" s="32" t="s">
        <v>48</v>
      </c>
      <c r="E126" s="990">
        <f>'Age Pension Calculator'!V46</f>
        <v>15000</v>
      </c>
      <c r="F126" s="36"/>
      <c r="G126" s="198"/>
      <c r="H126" s="198"/>
      <c r="J126" s="57"/>
      <c r="K126" s="79"/>
      <c r="L126" s="57"/>
      <c r="M126" s="682"/>
      <c r="N126" s="257"/>
      <c r="O126" s="32" t="s">
        <v>48</v>
      </c>
      <c r="P126" s="990">
        <f>E126</f>
        <v>15000</v>
      </c>
      <c r="Q126" s="36"/>
      <c r="R126" s="198"/>
      <c r="S126" s="198"/>
      <c r="U126" s="682"/>
      <c r="V126" s="682"/>
      <c r="W126" s="682"/>
      <c r="X126" s="682"/>
      <c r="Y126" s="682" t="s">
        <v>1070</v>
      </c>
      <c r="Z126" s="682"/>
      <c r="AA126" s="682"/>
      <c r="AB126" s="682"/>
      <c r="AC126" s="682"/>
      <c r="AD126" s="682"/>
      <c r="AE126" s="682"/>
      <c r="AF126" s="682"/>
      <c r="AG126" s="682"/>
      <c r="AH126" s="682"/>
      <c r="AI126" s="682"/>
      <c r="AJ126" s="682"/>
      <c r="AK126" s="682"/>
      <c r="AL126" s="682"/>
      <c r="AM126" s="682"/>
      <c r="AN126" s="682"/>
      <c r="AO126" s="682"/>
      <c r="AP126" s="682"/>
      <c r="AQ126" s="682"/>
      <c r="AR126" s="682"/>
      <c r="AS126" s="682"/>
      <c r="AT126" s="682"/>
    </row>
    <row r="127" spans="1:46" s="489" customFormat="1" ht="15.75" customHeight="1">
      <c r="A127" s="57"/>
      <c r="B127" s="682"/>
      <c r="C127" s="257"/>
      <c r="D127" s="84" t="s">
        <v>158</v>
      </c>
      <c r="E127" s="990">
        <f>S1OtherAssets</f>
        <v>0</v>
      </c>
      <c r="F127" s="97"/>
      <c r="G127" s="198"/>
      <c r="H127" s="198"/>
      <c r="J127" s="57"/>
      <c r="K127" s="79"/>
      <c r="L127" s="57"/>
      <c r="M127" s="682"/>
      <c r="N127" s="257"/>
      <c r="O127" s="84" t="s">
        <v>158</v>
      </c>
      <c r="P127" s="990">
        <f>E127</f>
        <v>0</v>
      </c>
      <c r="Q127" s="97"/>
      <c r="R127" s="198"/>
      <c r="S127" s="198"/>
      <c r="U127" s="682"/>
      <c r="V127" s="682"/>
      <c r="W127" s="682"/>
      <c r="X127" s="682"/>
      <c r="Y127" s="682" t="s">
        <v>1093</v>
      </c>
      <c r="Z127" s="682"/>
      <c r="AA127" s="682"/>
      <c r="AB127" s="682"/>
      <c r="AC127" s="682"/>
      <c r="AD127" s="682"/>
      <c r="AE127" s="682"/>
      <c r="AF127" s="682"/>
      <c r="AG127" s="682"/>
      <c r="AH127" s="682"/>
      <c r="AI127" s="682"/>
      <c r="AJ127" s="682"/>
      <c r="AK127" s="682"/>
      <c r="AL127" s="682"/>
      <c r="AM127" s="682"/>
      <c r="AN127" s="682"/>
      <c r="AO127" s="682"/>
      <c r="AP127" s="682"/>
      <c r="AQ127" s="682"/>
      <c r="AR127" s="682"/>
      <c r="AS127" s="682"/>
      <c r="AT127" s="682"/>
    </row>
    <row r="128" spans="1:46" s="489" customFormat="1" ht="15.75" customHeight="1">
      <c r="A128" s="57"/>
      <c r="B128" s="682"/>
      <c r="C128" s="257"/>
      <c r="D128" s="84" t="s">
        <v>136</v>
      </c>
      <c r="E128" s="990">
        <f>'Age Pension Calculator'!V55</f>
        <v>0</v>
      </c>
      <c r="F128" s="106" t="s">
        <v>159</v>
      </c>
      <c r="G128" s="990">
        <f>52*'Age Pension Calculator'!W57</f>
        <v>0</v>
      </c>
      <c r="H128" s="198"/>
      <c r="J128" s="57"/>
      <c r="K128" s="79"/>
      <c r="L128" s="57"/>
      <c r="M128" s="682"/>
      <c r="N128" s="257"/>
      <c r="O128" s="84" t="s">
        <v>136</v>
      </c>
      <c r="P128" s="990">
        <f>E128</f>
        <v>0</v>
      </c>
      <c r="Q128" s="106" t="s">
        <v>159</v>
      </c>
      <c r="R128" s="990">
        <f>G128</f>
        <v>0</v>
      </c>
      <c r="S128" s="198"/>
      <c r="U128" s="682"/>
      <c r="V128" s="682"/>
      <c r="W128" s="682"/>
      <c r="X128" s="682"/>
      <c r="Y128" s="682" t="s">
        <v>1095</v>
      </c>
      <c r="Z128" s="682"/>
      <c r="AA128" s="682"/>
      <c r="AB128" s="682"/>
      <c r="AC128" s="682"/>
      <c r="AD128" s="682"/>
      <c r="AE128" s="682"/>
      <c r="AF128" s="682"/>
      <c r="AG128" s="682"/>
      <c r="AH128" s="682"/>
      <c r="AI128" s="682"/>
      <c r="AJ128" s="682"/>
      <c r="AK128" s="682"/>
      <c r="AL128" s="682"/>
      <c r="AM128" s="682"/>
      <c r="AN128" s="682"/>
      <c r="AO128" s="682"/>
      <c r="AP128" s="682"/>
      <c r="AQ128" s="682"/>
      <c r="AR128" s="682"/>
      <c r="AS128" s="682"/>
      <c r="AT128" s="682"/>
    </row>
    <row r="129" spans="1:46" s="489" customFormat="1" ht="18" customHeight="1">
      <c r="A129" s="57"/>
      <c r="B129" s="682"/>
      <c r="C129" s="257"/>
      <c r="D129" s="84" t="s">
        <v>135</v>
      </c>
      <c r="E129" s="990">
        <f>'Age Pension Calculator'!V52</f>
        <v>0</v>
      </c>
      <c r="F129" s="31"/>
      <c r="G129" s="310"/>
      <c r="H129" s="310"/>
      <c r="I129" s="310"/>
      <c r="J129" s="801"/>
      <c r="K129" s="792"/>
      <c r="L129" s="57"/>
      <c r="M129" s="682"/>
      <c r="N129" s="257"/>
      <c r="O129" s="84" t="s">
        <v>135</v>
      </c>
      <c r="P129" s="990">
        <f>E129</f>
        <v>0</v>
      </c>
      <c r="Q129" s="31"/>
      <c r="R129" s="310"/>
      <c r="S129" s="310"/>
      <c r="T129" s="310"/>
      <c r="U129" s="682"/>
      <c r="V129" s="682"/>
      <c r="W129" s="682"/>
      <c r="X129" s="682"/>
      <c r="Y129" s="682" t="s">
        <v>1071</v>
      </c>
      <c r="Z129" s="682"/>
      <c r="AA129" s="682"/>
      <c r="AB129" s="682"/>
      <c r="AC129" s="682"/>
      <c r="AD129" s="682"/>
      <c r="AE129" s="682"/>
      <c r="AF129" s="682"/>
      <c r="AG129" s="682"/>
      <c r="AH129" s="682"/>
      <c r="AI129" s="682"/>
      <c r="AJ129" s="682"/>
      <c r="AK129" s="682"/>
      <c r="AL129" s="682"/>
      <c r="AM129" s="682"/>
      <c r="AN129" s="682"/>
      <c r="AO129" s="682"/>
      <c r="AP129" s="682"/>
      <c r="AQ129" s="682"/>
      <c r="AR129" s="682"/>
      <c r="AS129" s="682"/>
      <c r="AT129" s="682"/>
    </row>
    <row r="130" spans="1:46" s="489" customFormat="1">
      <c r="A130" s="57"/>
      <c r="B130" s="682"/>
      <c r="C130" s="431"/>
      <c r="D130" s="803" t="s">
        <v>901</v>
      </c>
      <c r="E130" s="1016">
        <f>'Age Pension Calculator'!V49</f>
        <v>500000</v>
      </c>
      <c r="G130" s="198"/>
      <c r="H130" s="198"/>
      <c r="J130" s="57"/>
      <c r="K130" s="79"/>
      <c r="L130" s="57"/>
      <c r="M130" s="682"/>
      <c r="N130" s="431"/>
      <c r="O130" s="803" t="s">
        <v>901</v>
      </c>
      <c r="P130" s="1016">
        <f>'Admin Settings'!E61</f>
        <v>500000</v>
      </c>
      <c r="R130" s="198"/>
      <c r="S130" s="198"/>
      <c r="U130" s="682"/>
      <c r="V130" s="682"/>
      <c r="W130" s="682"/>
      <c r="X130" s="682"/>
      <c r="Y130" s="682" t="s">
        <v>1094</v>
      </c>
      <c r="Z130" s="682"/>
      <c r="AA130" s="682"/>
      <c r="AB130" s="682"/>
      <c r="AC130" s="682"/>
      <c r="AD130" s="682"/>
      <c r="AE130" s="682"/>
      <c r="AF130" s="682"/>
      <c r="AG130" s="682"/>
      <c r="AH130" s="682"/>
      <c r="AI130" s="682"/>
      <c r="AJ130" s="682"/>
      <c r="AK130" s="682"/>
      <c r="AL130" s="682"/>
      <c r="AM130" s="682"/>
      <c r="AN130" s="682"/>
      <c r="AO130" s="682"/>
      <c r="AP130" s="682"/>
      <c r="AQ130" s="682"/>
      <c r="AR130" s="682"/>
      <c r="AS130" s="682"/>
      <c r="AT130" s="682"/>
    </row>
    <row r="131" spans="1:46" s="489" customFormat="1">
      <c r="A131" s="57"/>
      <c r="B131" s="682"/>
      <c r="C131" s="682"/>
      <c r="D131" s="32"/>
      <c r="E131" s="198"/>
      <c r="F131" s="198"/>
      <c r="J131" s="57"/>
      <c r="K131" s="79"/>
      <c r="L131" s="57"/>
      <c r="M131" s="57"/>
      <c r="N131" s="682"/>
      <c r="O131" s="32"/>
      <c r="P131" s="198"/>
      <c r="Q131" s="198"/>
      <c r="U131" s="682"/>
      <c r="V131" s="682"/>
      <c r="W131" s="682"/>
      <c r="X131" s="682"/>
      <c r="Y131" s="682" t="s">
        <v>1072</v>
      </c>
      <c r="Z131" s="682"/>
      <c r="AA131" s="682"/>
      <c r="AB131" s="682"/>
      <c r="AC131" s="682"/>
      <c r="AD131" s="682"/>
      <c r="AE131" s="682"/>
      <c r="AF131" s="682"/>
      <c r="AG131" s="682"/>
      <c r="AH131" s="682"/>
      <c r="AI131" s="682"/>
      <c r="AJ131" s="682"/>
      <c r="AK131" s="682"/>
      <c r="AL131" s="682"/>
      <c r="AM131" s="682"/>
      <c r="AN131" s="682"/>
      <c r="AO131" s="682"/>
      <c r="AP131" s="682"/>
      <c r="AQ131" s="682"/>
      <c r="AR131" s="682"/>
      <c r="AS131" s="682"/>
      <c r="AT131" s="682"/>
    </row>
    <row r="132" spans="1:46" s="489" customFormat="1" ht="24" customHeight="1">
      <c r="A132" s="57"/>
      <c r="B132" s="78"/>
      <c r="C132" s="264" t="s">
        <v>98</v>
      </c>
      <c r="D132" s="260"/>
      <c r="E132" s="78"/>
      <c r="F132" s="78"/>
      <c r="G132" s="78"/>
      <c r="H132" s="78"/>
      <c r="I132" s="78"/>
      <c r="J132" s="795"/>
      <c r="K132" s="785"/>
      <c r="L132" s="795"/>
      <c r="M132" s="774"/>
      <c r="N132" s="775" t="s">
        <v>98</v>
      </c>
      <c r="O132" s="779"/>
      <c r="P132" s="774"/>
      <c r="Q132" s="774"/>
      <c r="R132" s="774"/>
      <c r="S132" s="774"/>
      <c r="T132" s="774"/>
      <c r="U132" s="682"/>
      <c r="V132" s="682"/>
      <c r="W132" s="682"/>
      <c r="X132" s="682"/>
      <c r="Y132" s="682" t="s">
        <v>1073</v>
      </c>
      <c r="Z132" s="682"/>
      <c r="AA132" s="682"/>
      <c r="AB132" s="682"/>
      <c r="AC132" s="682"/>
      <c r="AD132" s="682"/>
      <c r="AE132" s="682"/>
      <c r="AF132" s="682"/>
      <c r="AG132" s="682"/>
      <c r="AH132" s="682"/>
      <c r="AI132" s="682"/>
      <c r="AJ132" s="682"/>
      <c r="AK132" s="682"/>
      <c r="AL132" s="682"/>
      <c r="AM132" s="682"/>
      <c r="AN132" s="682"/>
      <c r="AO132" s="682"/>
      <c r="AP132" s="682"/>
      <c r="AQ132" s="682"/>
      <c r="AR132" s="682"/>
      <c r="AS132" s="682"/>
      <c r="AT132" s="682"/>
    </row>
    <row r="133" spans="1:46" s="682" customFormat="1">
      <c r="A133" s="57"/>
      <c r="C133" s="35"/>
      <c r="D133" s="35"/>
      <c r="E133" s="35"/>
      <c r="F133" s="35"/>
      <c r="G133" s="35"/>
      <c r="H133" s="35"/>
      <c r="I133" s="35"/>
      <c r="J133" s="795"/>
      <c r="K133" s="785"/>
      <c r="L133" s="795"/>
      <c r="N133" s="35"/>
      <c r="O133" s="35"/>
      <c r="P133" s="35"/>
      <c r="Q133" s="35"/>
      <c r="R133" s="35"/>
      <c r="S133" s="35"/>
      <c r="T133" s="35"/>
      <c r="Y133" s="682" t="s">
        <v>1096</v>
      </c>
    </row>
    <row r="134" spans="1:46" s="489" customFormat="1">
      <c r="A134" s="57"/>
      <c r="B134" s="682"/>
      <c r="C134" s="682"/>
      <c r="D134" s="229" t="s">
        <v>269</v>
      </c>
      <c r="E134" s="36"/>
      <c r="H134" s="198"/>
      <c r="J134" s="57"/>
      <c r="K134" s="79"/>
      <c r="L134" s="57"/>
      <c r="M134" s="682"/>
      <c r="N134" s="682"/>
      <c r="O134" s="229" t="s">
        <v>269</v>
      </c>
      <c r="P134" s="36"/>
      <c r="S134" s="198"/>
      <c r="U134" s="682"/>
      <c r="V134" s="682"/>
      <c r="W134" s="682"/>
      <c r="X134" s="682"/>
      <c r="Y134" s="682" t="s">
        <v>1074</v>
      </c>
      <c r="Z134" s="682"/>
      <c r="AA134" s="682"/>
      <c r="AB134" s="682"/>
      <c r="AC134" s="682"/>
      <c r="AD134" s="682"/>
      <c r="AE134" s="682"/>
      <c r="AF134" s="682"/>
      <c r="AG134" s="682"/>
      <c r="AH134" s="682"/>
      <c r="AI134" s="682"/>
      <c r="AJ134" s="682"/>
      <c r="AK134" s="682"/>
      <c r="AL134" s="682"/>
      <c r="AM134" s="682"/>
      <c r="AN134" s="682"/>
      <c r="AO134" s="682"/>
      <c r="AP134" s="682"/>
      <c r="AQ134" s="682"/>
      <c r="AR134" s="682"/>
      <c r="AS134" s="682"/>
      <c r="AT134" s="682"/>
    </row>
    <row r="135" spans="1:46" s="489" customFormat="1">
      <c r="A135" s="57"/>
      <c r="B135" s="682"/>
      <c r="C135" s="257"/>
      <c r="D135" s="34" t="s">
        <v>50</v>
      </c>
      <c r="E135" s="990">
        <f>26*'Age Pension Calculator'!V67</f>
        <v>0</v>
      </c>
      <c r="F135" s="990">
        <f>IF(Relationship="Couple",26*'Age Pension Calculator'!V72,0)</f>
        <v>0</v>
      </c>
      <c r="G135" s="198"/>
      <c r="H135" s="198"/>
      <c r="J135" s="57"/>
      <c r="K135" s="79"/>
      <c r="L135" s="57"/>
      <c r="M135" s="682"/>
      <c r="N135" s="257"/>
      <c r="O135" s="34" t="s">
        <v>50</v>
      </c>
      <c r="P135" s="990">
        <f>E135</f>
        <v>0</v>
      </c>
      <c r="Q135" s="990">
        <f>F135</f>
        <v>0</v>
      </c>
      <c r="R135" s="198"/>
      <c r="S135" s="198"/>
      <c r="U135" s="682"/>
      <c r="V135" s="682"/>
      <c r="W135" s="682"/>
      <c r="X135" s="682"/>
      <c r="Y135" s="682" t="s">
        <v>1076</v>
      </c>
      <c r="Z135" s="682"/>
      <c r="AA135" s="682"/>
      <c r="AB135" s="682"/>
      <c r="AC135" s="682"/>
      <c r="AD135" s="682"/>
      <c r="AE135" s="682"/>
      <c r="AF135" s="682"/>
      <c r="AG135" s="682"/>
      <c r="AH135" s="682"/>
      <c r="AI135" s="682"/>
      <c r="AJ135" s="682"/>
      <c r="AK135" s="682"/>
      <c r="AL135" s="682"/>
      <c r="AM135" s="682"/>
      <c r="AN135" s="682"/>
      <c r="AO135" s="682"/>
      <c r="AP135" s="682"/>
      <c r="AQ135" s="682"/>
      <c r="AR135" s="682"/>
      <c r="AS135" s="682"/>
      <c r="AT135" s="682"/>
    </row>
    <row r="136" spans="1:46" s="489" customFormat="1">
      <c r="A136" s="57"/>
      <c r="B136" s="682"/>
      <c r="C136" s="257"/>
      <c r="D136" s="34" t="s">
        <v>69</v>
      </c>
      <c r="E136" s="1027">
        <f>'Age Pension Calculator'!X69</f>
        <v>1</v>
      </c>
      <c r="F136" s="1028">
        <f>'Age Pension Calculator'!X74</f>
        <v>1</v>
      </c>
      <c r="G136" s="198"/>
      <c r="H136" s="198"/>
      <c r="J136" s="57"/>
      <c r="K136" s="79"/>
      <c r="L136" s="57"/>
      <c r="M136" s="682"/>
      <c r="N136" s="257"/>
      <c r="O136" s="34" t="s">
        <v>69</v>
      </c>
      <c r="P136" s="1027">
        <f>E136</f>
        <v>1</v>
      </c>
      <c r="Q136" s="1028">
        <f>F136</f>
        <v>1</v>
      </c>
      <c r="R136" s="198"/>
      <c r="S136" s="198"/>
      <c r="U136" s="682"/>
      <c r="V136" s="682"/>
      <c r="W136" s="682"/>
      <c r="X136" s="682"/>
      <c r="Y136" s="682" t="s">
        <v>1077</v>
      </c>
      <c r="Z136" s="682"/>
      <c r="AA136" s="682"/>
      <c r="AB136" s="682"/>
      <c r="AC136" s="682"/>
      <c r="AD136" s="682"/>
      <c r="AE136" s="682"/>
      <c r="AF136" s="682"/>
      <c r="AG136" s="682"/>
      <c r="AH136" s="682"/>
      <c r="AI136" s="682"/>
      <c r="AJ136" s="682"/>
      <c r="AK136" s="682"/>
      <c r="AL136" s="682"/>
      <c r="AM136" s="682"/>
      <c r="AN136" s="682"/>
      <c r="AO136" s="682"/>
      <c r="AP136" s="682"/>
      <c r="AQ136" s="682"/>
      <c r="AR136" s="682"/>
      <c r="AS136" s="682"/>
      <c r="AT136" s="682"/>
    </row>
    <row r="137" spans="1:46" s="489" customFormat="1">
      <c r="A137" s="57"/>
      <c r="B137" s="682"/>
      <c r="C137" s="257"/>
      <c r="D137" s="34"/>
      <c r="E137" s="34"/>
      <c r="F137" s="34"/>
      <c r="G137" s="295"/>
      <c r="H137" s="198"/>
      <c r="J137" s="57"/>
      <c r="K137" s="79"/>
      <c r="L137" s="57"/>
      <c r="M137" s="682"/>
      <c r="N137" s="257"/>
      <c r="O137" s="34"/>
      <c r="P137" s="34"/>
      <c r="Q137" s="34"/>
      <c r="R137" s="295"/>
      <c r="S137" s="198"/>
      <c r="U137" s="682"/>
      <c r="V137" s="682"/>
      <c r="W137" s="682"/>
      <c r="X137" s="682"/>
      <c r="Y137" s="682" t="s">
        <v>1078</v>
      </c>
      <c r="Z137" s="682"/>
      <c r="AA137" s="682"/>
      <c r="AB137" s="682"/>
      <c r="AC137" s="682"/>
      <c r="AD137" s="682"/>
      <c r="AE137" s="682"/>
      <c r="AF137" s="682"/>
      <c r="AG137" s="682"/>
      <c r="AH137" s="682"/>
      <c r="AI137" s="682"/>
      <c r="AJ137" s="682"/>
      <c r="AK137" s="682"/>
      <c r="AL137" s="682"/>
      <c r="AM137" s="682"/>
      <c r="AN137" s="682"/>
      <c r="AO137" s="682"/>
      <c r="AP137" s="682"/>
      <c r="AQ137" s="682"/>
      <c r="AR137" s="682"/>
      <c r="AS137" s="682"/>
      <c r="AT137" s="682"/>
    </row>
    <row r="138" spans="1:46" s="489" customFormat="1">
      <c r="A138" s="57"/>
      <c r="B138" s="682"/>
      <c r="C138" s="257"/>
      <c r="D138" s="34"/>
      <c r="E138" s="34"/>
      <c r="F138" s="34"/>
      <c r="H138" s="198"/>
      <c r="J138" s="57"/>
      <c r="K138" s="79"/>
      <c r="L138" s="57"/>
      <c r="M138" s="682"/>
      <c r="N138" s="257"/>
      <c r="O138" s="34"/>
      <c r="P138" s="34"/>
      <c r="Q138" s="34"/>
      <c r="S138" s="198"/>
      <c r="U138" s="682"/>
      <c r="V138" s="682"/>
      <c r="W138" s="682"/>
      <c r="X138" s="682"/>
      <c r="Y138" s="682" t="s">
        <v>1079</v>
      </c>
      <c r="Z138" s="682"/>
      <c r="AA138" s="682"/>
      <c r="AB138" s="682"/>
      <c r="AC138" s="682"/>
      <c r="AD138" s="682"/>
      <c r="AE138" s="682"/>
      <c r="AF138" s="682"/>
      <c r="AG138" s="682"/>
      <c r="AH138" s="682"/>
      <c r="AI138" s="682"/>
      <c r="AJ138" s="682"/>
      <c r="AK138" s="682"/>
      <c r="AL138" s="682"/>
      <c r="AM138" s="682"/>
      <c r="AN138" s="682"/>
      <c r="AO138" s="682"/>
      <c r="AP138" s="682"/>
      <c r="AQ138" s="682"/>
      <c r="AR138" s="682"/>
      <c r="AS138" s="682"/>
      <c r="AT138" s="682"/>
    </row>
    <row r="139" spans="1:46" s="682" customFormat="1">
      <c r="A139" s="57"/>
      <c r="C139" s="257"/>
      <c r="D139" s="229" t="s">
        <v>230</v>
      </c>
      <c r="E139" s="34"/>
      <c r="F139" s="34"/>
      <c r="G139" s="295"/>
      <c r="H139" s="198"/>
      <c r="I139" s="489"/>
      <c r="J139" s="57"/>
      <c r="K139" s="79"/>
      <c r="L139" s="57"/>
      <c r="N139" s="257"/>
      <c r="O139" s="229" t="s">
        <v>230</v>
      </c>
      <c r="P139" s="34"/>
      <c r="Q139" s="34"/>
      <c r="R139" s="295"/>
      <c r="S139" s="198"/>
      <c r="T139" s="489"/>
      <c r="Y139" s="682" t="s">
        <v>1080</v>
      </c>
    </row>
    <row r="140" spans="1:46" s="489" customFormat="1">
      <c r="A140" s="57"/>
      <c r="B140" s="682"/>
      <c r="C140" s="257"/>
      <c r="D140" s="34" t="s">
        <v>50</v>
      </c>
      <c r="E140" s="990">
        <f>IF(Relationship="Couple",'Age Pension Calculator'!V62/2,'Age Pension Calculator'!V62)</f>
        <v>0</v>
      </c>
      <c r="F140" s="990">
        <f>IF(Relationship="Couple",'Age Pension Calculator'!V62/2,0)</f>
        <v>0</v>
      </c>
      <c r="G140" s="295"/>
      <c r="H140" s="198"/>
      <c r="J140" s="57"/>
      <c r="K140" s="79"/>
      <c r="L140" s="57"/>
      <c r="M140" s="682"/>
      <c r="N140" s="257"/>
      <c r="O140" s="34" t="s">
        <v>50</v>
      </c>
      <c r="P140" s="990">
        <f>E140</f>
        <v>0</v>
      </c>
      <c r="Q140" s="990">
        <f>F140</f>
        <v>0</v>
      </c>
      <c r="R140" s="295"/>
      <c r="S140" s="198"/>
      <c r="U140" s="682"/>
      <c r="V140" s="682"/>
      <c r="W140" s="682"/>
      <c r="X140" s="682"/>
      <c r="Y140" s="682" t="s">
        <v>1081</v>
      </c>
      <c r="Z140" s="682"/>
      <c r="AA140" s="682"/>
      <c r="AB140" s="682"/>
      <c r="AC140" s="682"/>
      <c r="AD140" s="682"/>
      <c r="AE140" s="682"/>
      <c r="AF140" s="682"/>
      <c r="AG140" s="682"/>
      <c r="AH140" s="682"/>
      <c r="AI140" s="682"/>
      <c r="AJ140" s="682"/>
      <c r="AK140" s="682"/>
      <c r="AL140" s="682"/>
      <c r="AM140" s="682"/>
      <c r="AN140" s="682"/>
      <c r="AO140" s="682"/>
      <c r="AP140" s="682"/>
      <c r="AQ140" s="682"/>
      <c r="AR140" s="682"/>
      <c r="AS140" s="682"/>
      <c r="AT140" s="682"/>
    </row>
    <row r="141" spans="1:46" s="682" customFormat="1">
      <c r="A141" s="57"/>
      <c r="C141" s="257"/>
      <c r="D141" s="37"/>
      <c r="E141" s="36"/>
      <c r="F141" s="38"/>
      <c r="G141" s="198"/>
      <c r="H141" s="198"/>
      <c r="J141" s="57"/>
      <c r="K141" s="79"/>
      <c r="L141" s="57"/>
      <c r="N141" s="257"/>
      <c r="O141" s="37"/>
      <c r="P141" s="36"/>
      <c r="Q141" s="38"/>
      <c r="R141" s="198"/>
      <c r="S141" s="198"/>
      <c r="Y141" s="682" t="s">
        <v>1082</v>
      </c>
    </row>
    <row r="142" spans="1:46" s="489" customFormat="1" ht="24.75" customHeight="1">
      <c r="A142" s="57"/>
      <c r="B142" s="78"/>
      <c r="C142" s="264" t="s">
        <v>101</v>
      </c>
      <c r="D142" s="78"/>
      <c r="E142" s="78"/>
      <c r="F142" s="78"/>
      <c r="G142" s="78"/>
      <c r="H142" s="78"/>
      <c r="I142" s="78"/>
      <c r="J142" s="795"/>
      <c r="K142" s="785"/>
      <c r="L142" s="795"/>
      <c r="M142" s="774"/>
      <c r="N142" s="775" t="s">
        <v>101</v>
      </c>
      <c r="O142" s="774"/>
      <c r="P142" s="774"/>
      <c r="Q142" s="774"/>
      <c r="R142" s="774"/>
      <c r="S142" s="774"/>
      <c r="T142" s="774"/>
      <c r="U142" s="682"/>
      <c r="V142" s="682"/>
      <c r="W142" s="682"/>
      <c r="X142" s="682"/>
      <c r="Y142" s="682" t="s">
        <v>1097</v>
      </c>
      <c r="Z142" s="682"/>
      <c r="AA142" s="682"/>
      <c r="AB142" s="682"/>
      <c r="AC142" s="682"/>
      <c r="AD142" s="682"/>
      <c r="AE142" s="682"/>
      <c r="AF142" s="682"/>
      <c r="AG142" s="682"/>
      <c r="AH142" s="682"/>
      <c r="AI142" s="682"/>
      <c r="AJ142" s="682"/>
      <c r="AK142" s="682"/>
      <c r="AL142" s="682"/>
      <c r="AM142" s="682"/>
      <c r="AN142" s="682"/>
      <c r="AO142" s="682"/>
      <c r="AP142" s="682"/>
      <c r="AQ142" s="682"/>
      <c r="AR142" s="682"/>
      <c r="AS142" s="682"/>
      <c r="AT142" s="682"/>
    </row>
    <row r="143" spans="1:46" s="489" customFormat="1">
      <c r="A143" s="57"/>
      <c r="B143" s="682"/>
      <c r="C143" s="257"/>
      <c r="D143" s="75"/>
      <c r="E143" s="36"/>
      <c r="F143" s="36"/>
      <c r="G143" s="198"/>
      <c r="H143" s="198"/>
      <c r="J143" s="57"/>
      <c r="K143" s="79"/>
      <c r="L143" s="57"/>
      <c r="M143" s="102"/>
      <c r="N143" s="257"/>
      <c r="O143" s="75"/>
      <c r="P143" s="36"/>
      <c r="Q143" s="36"/>
      <c r="R143" s="198"/>
      <c r="S143" s="198"/>
      <c r="U143" s="682"/>
      <c r="V143" s="682"/>
      <c r="W143" s="682"/>
      <c r="X143" s="682"/>
      <c r="Y143" s="682" t="s">
        <v>1075</v>
      </c>
      <c r="Z143" s="682"/>
      <c r="AA143" s="682"/>
      <c r="AB143" s="682"/>
      <c r="AC143" s="682"/>
      <c r="AD143" s="682"/>
      <c r="AE143" s="682"/>
      <c r="AF143" s="682"/>
      <c r="AG143" s="682"/>
      <c r="AH143" s="682"/>
      <c r="AI143" s="682"/>
      <c r="AJ143" s="682"/>
      <c r="AK143" s="682"/>
      <c r="AL143" s="682"/>
      <c r="AM143" s="682"/>
      <c r="AN143" s="682"/>
      <c r="AO143" s="682"/>
      <c r="AP143" s="682"/>
      <c r="AQ143" s="682"/>
      <c r="AR143" s="682"/>
      <c r="AS143" s="682"/>
      <c r="AT143" s="682"/>
    </row>
    <row r="144" spans="1:46" s="489" customFormat="1">
      <c r="A144" s="57"/>
      <c r="B144" s="682"/>
      <c r="C144" s="257"/>
      <c r="D144" s="80" t="s">
        <v>107</v>
      </c>
      <c r="E144" s="40"/>
      <c r="F144" s="40"/>
      <c r="G144" s="40"/>
      <c r="H144" s="40"/>
      <c r="I144" s="40"/>
      <c r="J144" s="56"/>
      <c r="K144" s="793"/>
      <c r="L144" s="56"/>
      <c r="M144" s="102"/>
      <c r="N144" s="257"/>
      <c r="O144" s="80" t="s">
        <v>107</v>
      </c>
      <c r="P144" s="40"/>
      <c r="Q144" s="40"/>
      <c r="R144" s="40"/>
      <c r="S144" s="40"/>
      <c r="T144" s="40"/>
      <c r="U144" s="682"/>
      <c r="V144" s="682"/>
      <c r="W144" s="682"/>
      <c r="X144" s="682"/>
      <c r="Y144" s="682"/>
      <c r="Z144" s="682"/>
      <c r="AA144" s="682"/>
      <c r="AB144" s="682"/>
      <c r="AC144" s="682"/>
      <c r="AD144" s="682"/>
      <c r="AE144" s="682"/>
      <c r="AF144" s="682"/>
      <c r="AG144" s="682"/>
      <c r="AH144" s="682"/>
      <c r="AI144" s="682"/>
      <c r="AJ144" s="682"/>
      <c r="AK144" s="682"/>
      <c r="AL144" s="682"/>
      <c r="AM144" s="682"/>
      <c r="AN144" s="682"/>
      <c r="AO144" s="682"/>
      <c r="AP144" s="682"/>
      <c r="AQ144" s="682"/>
      <c r="AR144" s="682"/>
      <c r="AS144" s="682"/>
      <c r="AT144" s="682"/>
    </row>
    <row r="145" spans="1:46" s="489" customFormat="1" ht="18" customHeight="1">
      <c r="A145" s="57"/>
      <c r="B145" s="682"/>
      <c r="C145" s="257"/>
      <c r="D145" s="85" t="s">
        <v>139</v>
      </c>
      <c r="E145" s="990">
        <f>Settings!J67</f>
        <v>0</v>
      </c>
      <c r="F145" s="40" t="s">
        <v>168</v>
      </c>
      <c r="G145" s="40"/>
      <c r="H145" s="40"/>
      <c r="I145" s="40"/>
      <c r="J145" s="56"/>
      <c r="K145" s="793"/>
      <c r="L145" s="56"/>
      <c r="M145" s="102"/>
      <c r="N145" s="257"/>
      <c r="O145" s="85" t="s">
        <v>139</v>
      </c>
      <c r="P145" s="990">
        <f>E145</f>
        <v>0</v>
      </c>
      <c r="Q145" s="40" t="s">
        <v>168</v>
      </c>
      <c r="R145" s="40"/>
      <c r="S145" s="40"/>
      <c r="T145" s="40"/>
      <c r="U145" s="682"/>
      <c r="V145" s="682"/>
      <c r="W145" s="682"/>
      <c r="X145" s="682"/>
      <c r="Y145" s="682" t="s">
        <v>960</v>
      </c>
      <c r="Z145" s="682"/>
      <c r="AA145" s="682"/>
      <c r="AB145" s="682"/>
      <c r="AC145" s="682"/>
      <c r="AD145" s="682"/>
      <c r="AE145" s="682"/>
      <c r="AF145" s="682"/>
      <c r="AG145" s="682"/>
      <c r="AH145" s="682"/>
      <c r="AI145" s="682"/>
      <c r="AJ145" s="682"/>
      <c r="AK145" s="682"/>
      <c r="AL145" s="682"/>
      <c r="AM145" s="682"/>
      <c r="AN145" s="682"/>
      <c r="AO145" s="682"/>
      <c r="AP145" s="682"/>
      <c r="AQ145" s="682"/>
      <c r="AR145" s="682"/>
      <c r="AS145" s="682"/>
      <c r="AT145" s="682"/>
    </row>
    <row r="146" spans="1:46" s="489" customFormat="1" ht="18" customHeight="1">
      <c r="A146" s="57"/>
      <c r="B146" s="682"/>
      <c r="C146" s="257"/>
      <c r="D146" s="85" t="s">
        <v>392</v>
      </c>
      <c r="E146" s="990" t="str">
        <f>Settings!N67</f>
        <v>No</v>
      </c>
      <c r="F146" s="40"/>
      <c r="G146" s="40"/>
      <c r="H146" s="40"/>
      <c r="I146" s="40"/>
      <c r="J146" s="56"/>
      <c r="K146" s="793"/>
      <c r="L146" s="56"/>
      <c r="M146" s="102"/>
      <c r="N146" s="257"/>
      <c r="O146" s="85" t="s">
        <v>392</v>
      </c>
      <c r="P146" s="990" t="str">
        <f>E146</f>
        <v>No</v>
      </c>
      <c r="Q146" s="40"/>
      <c r="R146" s="40"/>
      <c r="S146" s="40"/>
      <c r="T146" s="40"/>
      <c r="U146" s="682"/>
      <c r="V146" s="682"/>
      <c r="W146" s="682"/>
      <c r="X146" s="682"/>
      <c r="Y146" s="682" t="s">
        <v>961</v>
      </c>
      <c r="Z146" s="682"/>
      <c r="AA146" s="682"/>
      <c r="AB146" s="682"/>
      <c r="AC146" s="682"/>
      <c r="AD146" s="682"/>
      <c r="AE146" s="682"/>
      <c r="AF146" s="682"/>
      <c r="AG146" s="682"/>
      <c r="AH146" s="682"/>
      <c r="AI146" s="682"/>
      <c r="AJ146" s="682"/>
      <c r="AK146" s="682"/>
      <c r="AL146" s="682"/>
      <c r="AM146" s="682"/>
      <c r="AN146" s="682"/>
      <c r="AO146" s="682"/>
      <c r="AP146" s="682"/>
      <c r="AQ146" s="682"/>
      <c r="AR146" s="682"/>
      <c r="AS146" s="682"/>
      <c r="AT146" s="682"/>
    </row>
    <row r="147" spans="1:46" s="682" customFormat="1">
      <c r="A147" s="57"/>
      <c r="C147" s="257"/>
      <c r="D147" s="58"/>
      <c r="E147" s="36"/>
      <c r="F147" s="40"/>
      <c r="G147" s="40"/>
      <c r="H147" s="40"/>
      <c r="I147" s="40"/>
      <c r="J147" s="56"/>
      <c r="K147" s="793"/>
      <c r="L147" s="56"/>
      <c r="M147" s="102"/>
      <c r="N147" s="257"/>
      <c r="O147" s="58"/>
      <c r="P147" s="36"/>
      <c r="Q147" s="40"/>
      <c r="R147" s="40"/>
      <c r="S147" s="40"/>
      <c r="T147" s="40"/>
      <c r="Y147" s="682" t="s">
        <v>962</v>
      </c>
    </row>
    <row r="148" spans="1:46" s="489" customFormat="1">
      <c r="A148" s="57"/>
      <c r="B148" s="682"/>
      <c r="C148" s="257"/>
      <c r="D148" s="225" t="s">
        <v>140</v>
      </c>
      <c r="E148" s="1021" t="s">
        <v>393</v>
      </c>
      <c r="F148" s="1020" t="s">
        <v>394</v>
      </c>
      <c r="G148" s="16" t="s">
        <v>143</v>
      </c>
      <c r="H148" s="40"/>
      <c r="I148" s="40"/>
      <c r="J148" s="56"/>
      <c r="K148" s="793"/>
      <c r="L148" s="56"/>
      <c r="M148" s="102"/>
      <c r="N148" s="257"/>
      <c r="O148" s="225" t="s">
        <v>140</v>
      </c>
      <c r="P148" s="1021" t="s">
        <v>393</v>
      </c>
      <c r="Q148" s="1020" t="s">
        <v>394</v>
      </c>
      <c r="R148" s="16" t="s">
        <v>143</v>
      </c>
      <c r="S148" s="40"/>
      <c r="T148" s="40"/>
      <c r="U148" s="682"/>
      <c r="V148" s="682"/>
      <c r="W148" s="682"/>
      <c r="X148" s="682"/>
      <c r="Y148" s="682" t="s">
        <v>963</v>
      </c>
      <c r="Z148" s="682"/>
      <c r="AA148" s="682"/>
      <c r="AB148" s="682"/>
      <c r="AC148" s="682"/>
      <c r="AD148" s="682"/>
      <c r="AE148" s="682"/>
      <c r="AF148" s="682"/>
      <c r="AG148" s="682"/>
      <c r="AH148" s="682"/>
      <c r="AI148" s="682"/>
      <c r="AJ148" s="682"/>
      <c r="AK148" s="682"/>
      <c r="AL148" s="682"/>
      <c r="AM148" s="682"/>
      <c r="AN148" s="682"/>
      <c r="AO148" s="682"/>
      <c r="AP148" s="682"/>
      <c r="AQ148" s="682"/>
      <c r="AR148" s="682"/>
      <c r="AS148" s="682"/>
      <c r="AT148" s="682"/>
    </row>
    <row r="149" spans="1:46" s="489" customFormat="1">
      <c r="A149" s="57"/>
      <c r="B149" s="682"/>
      <c r="C149" s="257"/>
      <c r="D149" s="60" t="s">
        <v>272</v>
      </c>
      <c r="E149" s="990" t="str">
        <f>'Admin Settings'!F104</f>
        <v>No</v>
      </c>
      <c r="F149" s="990" t="str">
        <f>'Admin Settings'!F104</f>
        <v>No</v>
      </c>
      <c r="H149" s="228"/>
      <c r="I149" s="40"/>
      <c r="J149" s="56"/>
      <c r="K149" s="793"/>
      <c r="L149" s="56"/>
      <c r="M149" s="102"/>
      <c r="N149" s="257"/>
      <c r="O149" s="60" t="s">
        <v>272</v>
      </c>
      <c r="P149" s="990" t="str">
        <f>E149</f>
        <v>No</v>
      </c>
      <c r="Q149" s="990" t="str">
        <f>F149</f>
        <v>No</v>
      </c>
      <c r="R149" s="682"/>
      <c r="S149" s="228"/>
      <c r="T149" s="40"/>
      <c r="U149" s="682"/>
      <c r="V149" s="682"/>
      <c r="W149" s="682"/>
      <c r="X149" s="682"/>
      <c r="Y149" s="682" t="s">
        <v>1083</v>
      </c>
      <c r="Z149" s="682"/>
      <c r="AA149" s="682"/>
      <c r="AB149" s="682"/>
      <c r="AC149" s="682"/>
      <c r="AD149" s="682"/>
      <c r="AE149" s="682"/>
      <c r="AF149" s="682"/>
      <c r="AG149" s="682"/>
      <c r="AH149" s="682"/>
      <c r="AI149" s="682"/>
      <c r="AJ149" s="682"/>
      <c r="AK149" s="682"/>
      <c r="AL149" s="682"/>
      <c r="AM149" s="682"/>
      <c r="AN149" s="682"/>
      <c r="AO149" s="682"/>
      <c r="AP149" s="682"/>
      <c r="AQ149" s="682"/>
      <c r="AR149" s="682"/>
      <c r="AS149" s="682"/>
      <c r="AT149" s="682"/>
    </row>
    <row r="150" spans="1:46" s="489" customFormat="1">
      <c r="A150" s="57"/>
      <c r="B150" s="682"/>
      <c r="C150" s="257"/>
      <c r="D150" s="60" t="s">
        <v>162</v>
      </c>
      <c r="G150" s="1024">
        <f>Settings!J69</f>
        <v>5.0000000000000001E-3</v>
      </c>
      <c r="H150" s="40"/>
      <c r="I150" s="40"/>
      <c r="J150" s="56"/>
      <c r="K150" s="793"/>
      <c r="L150" s="56"/>
      <c r="M150" s="102"/>
      <c r="N150" s="257"/>
      <c r="O150" s="60" t="s">
        <v>162</v>
      </c>
      <c r="R150" s="1024">
        <f>G150</f>
        <v>5.0000000000000001E-3</v>
      </c>
      <c r="S150" s="40"/>
      <c r="T150" s="40"/>
      <c r="U150" s="682"/>
      <c r="V150" s="682"/>
      <c r="W150" s="682"/>
      <c r="X150" s="682"/>
      <c r="Y150" s="682" t="s">
        <v>1084</v>
      </c>
      <c r="Z150" s="682"/>
      <c r="AA150" s="682"/>
      <c r="AB150" s="682"/>
      <c r="AC150" s="682"/>
      <c r="AD150" s="682"/>
      <c r="AE150" s="682"/>
      <c r="AF150" s="682"/>
      <c r="AG150" s="682"/>
      <c r="AH150" s="682"/>
      <c r="AI150" s="682"/>
      <c r="AJ150" s="682"/>
      <c r="AK150" s="682"/>
      <c r="AL150" s="682"/>
      <c r="AM150" s="682"/>
      <c r="AN150" s="682"/>
      <c r="AO150" s="682"/>
      <c r="AP150" s="682"/>
      <c r="AQ150" s="682"/>
      <c r="AR150" s="682"/>
      <c r="AS150" s="682"/>
      <c r="AT150" s="682"/>
    </row>
    <row r="151" spans="1:46" s="489" customFormat="1">
      <c r="A151" s="57"/>
      <c r="B151" s="682"/>
      <c r="C151" s="257"/>
      <c r="D151" s="60" t="s">
        <v>273</v>
      </c>
      <c r="G151" s="1025">
        <f>Settings!J71</f>
        <v>8.0000000000000002E-3</v>
      </c>
      <c r="H151" s="40"/>
      <c r="I151" s="40"/>
      <c r="J151" s="56"/>
      <c r="K151" s="793"/>
      <c r="L151" s="56"/>
      <c r="M151" s="102"/>
      <c r="N151" s="257"/>
      <c r="O151" s="60" t="s">
        <v>273</v>
      </c>
      <c r="R151" s="1025">
        <f>G151</f>
        <v>8.0000000000000002E-3</v>
      </c>
      <c r="S151" s="40"/>
      <c r="T151" s="40"/>
      <c r="U151" s="682"/>
      <c r="V151" s="682"/>
      <c r="W151" s="682"/>
      <c r="X151" s="682"/>
      <c r="Y151" s="682" t="s">
        <v>973</v>
      </c>
      <c r="Z151" s="682"/>
      <c r="AA151" s="682"/>
      <c r="AB151" s="682"/>
      <c r="AC151" s="682"/>
      <c r="AD151" s="682"/>
      <c r="AE151" s="682"/>
      <c r="AF151" s="682"/>
      <c r="AG151" s="682"/>
      <c r="AH151" s="682"/>
      <c r="AI151" s="682"/>
      <c r="AJ151" s="682"/>
      <c r="AK151" s="682"/>
      <c r="AL151" s="682"/>
      <c r="AM151" s="682"/>
      <c r="AN151" s="682"/>
      <c r="AO151" s="682"/>
      <c r="AP151" s="682"/>
      <c r="AQ151" s="682"/>
      <c r="AR151" s="682"/>
      <c r="AS151" s="682"/>
      <c r="AT151" s="682"/>
    </row>
    <row r="152" spans="1:46" s="489" customFormat="1">
      <c r="A152" s="57"/>
      <c r="B152" s="682"/>
      <c r="C152" s="257"/>
      <c r="D152" s="60" t="s">
        <v>274</v>
      </c>
      <c r="G152" s="1025">
        <f>Settings!J73</f>
        <v>3.5000000000000001E-3</v>
      </c>
      <c r="H152" s="40"/>
      <c r="I152" s="40"/>
      <c r="J152" s="56"/>
      <c r="K152" s="793"/>
      <c r="L152" s="56"/>
      <c r="M152" s="102"/>
      <c r="N152" s="257"/>
      <c r="O152" s="60" t="s">
        <v>274</v>
      </c>
      <c r="R152" s="1025">
        <f>G152</f>
        <v>3.5000000000000001E-3</v>
      </c>
      <c r="S152" s="40"/>
      <c r="T152" s="40"/>
      <c r="U152" s="682"/>
      <c r="V152" s="682"/>
      <c r="W152" s="682"/>
      <c r="X152" s="682"/>
      <c r="Y152" s="682" t="s">
        <v>974</v>
      </c>
      <c r="Z152" s="682"/>
      <c r="AA152" s="682"/>
      <c r="AB152" s="682"/>
      <c r="AC152" s="682"/>
      <c r="AD152" s="682"/>
      <c r="AE152" s="682"/>
      <c r="AF152" s="682"/>
      <c r="AG152" s="682"/>
      <c r="AH152" s="682"/>
      <c r="AI152" s="682"/>
      <c r="AJ152" s="682"/>
      <c r="AK152" s="682"/>
      <c r="AL152" s="682"/>
      <c r="AM152" s="682"/>
      <c r="AN152" s="682"/>
      <c r="AO152" s="682"/>
      <c r="AP152" s="682"/>
      <c r="AQ152" s="682"/>
      <c r="AR152" s="682"/>
      <c r="AS152" s="682"/>
      <c r="AT152" s="682"/>
    </row>
    <row r="153" spans="1:46" s="489" customFormat="1">
      <c r="A153" s="57"/>
      <c r="B153" s="682"/>
      <c r="C153" s="257"/>
      <c r="D153" s="32"/>
      <c r="E153" s="81"/>
      <c r="J153" s="57"/>
      <c r="K153" s="79"/>
      <c r="L153" s="57"/>
      <c r="M153" s="102"/>
      <c r="N153" s="257"/>
      <c r="O153" s="32"/>
      <c r="P153" s="81"/>
      <c r="S153" s="682"/>
      <c r="T153" s="682"/>
      <c r="U153" s="682"/>
      <c r="V153" s="682"/>
      <c r="W153" s="682"/>
      <c r="X153" s="682"/>
      <c r="Y153" s="682" t="s">
        <v>972</v>
      </c>
      <c r="Z153" s="682"/>
      <c r="AA153" s="682"/>
      <c r="AB153" s="682"/>
      <c r="AC153" s="682"/>
      <c r="AD153" s="682"/>
      <c r="AE153" s="682"/>
      <c r="AF153" s="682"/>
      <c r="AG153" s="682"/>
      <c r="AH153" s="682"/>
      <c r="AI153" s="682"/>
      <c r="AJ153" s="682"/>
      <c r="AK153" s="682"/>
      <c r="AL153" s="682"/>
      <c r="AM153" s="682"/>
      <c r="AN153" s="682"/>
      <c r="AO153" s="682"/>
      <c r="AP153" s="682"/>
      <c r="AQ153" s="682"/>
      <c r="AR153" s="682"/>
      <c r="AS153" s="682"/>
      <c r="AT153" s="682"/>
    </row>
    <row r="154" spans="1:46" s="489" customFormat="1">
      <c r="A154" s="57"/>
      <c r="B154" s="682"/>
      <c r="C154" s="257"/>
      <c r="D154" s="22" t="s">
        <v>137</v>
      </c>
      <c r="E154" s="81"/>
      <c r="J154" s="57"/>
      <c r="K154" s="79"/>
      <c r="L154" s="57"/>
      <c r="M154" s="102"/>
      <c r="N154" s="257"/>
      <c r="O154" s="22" t="s">
        <v>137</v>
      </c>
      <c r="P154" s="81"/>
      <c r="U154" s="682"/>
      <c r="V154" s="682"/>
      <c r="W154" s="682"/>
      <c r="X154" s="682"/>
      <c r="Y154" s="682" t="s">
        <v>1087</v>
      </c>
      <c r="Z154" s="682"/>
      <c r="AA154" s="682"/>
      <c r="AB154" s="682"/>
      <c r="AC154" s="682"/>
      <c r="AD154" s="682"/>
      <c r="AE154" s="682"/>
      <c r="AF154" s="682"/>
      <c r="AG154" s="682"/>
      <c r="AH154" s="682"/>
      <c r="AI154" s="682"/>
      <c r="AJ154" s="682"/>
      <c r="AK154" s="682"/>
      <c r="AL154" s="682"/>
      <c r="AM154" s="682"/>
      <c r="AN154" s="682"/>
      <c r="AO154" s="682"/>
      <c r="AP154" s="682"/>
      <c r="AQ154" s="682"/>
      <c r="AR154" s="682"/>
      <c r="AS154" s="682"/>
      <c r="AT154" s="682"/>
    </row>
    <row r="155" spans="1:46" s="489" customFormat="1">
      <c r="A155" s="57"/>
      <c r="B155" s="682"/>
      <c r="C155" s="257"/>
      <c r="D155" s="225" t="s">
        <v>257</v>
      </c>
      <c r="E155" s="491"/>
      <c r="F155" s="491"/>
      <c r="J155" s="57"/>
      <c r="K155" s="79"/>
      <c r="L155" s="57"/>
      <c r="M155" s="102"/>
      <c r="N155" s="257"/>
      <c r="O155" s="225" t="s">
        <v>257</v>
      </c>
      <c r="P155" s="491"/>
      <c r="Q155" s="491"/>
      <c r="U155" s="682"/>
      <c r="V155" s="682"/>
      <c r="W155" s="682"/>
      <c r="X155" s="682"/>
      <c r="Y155" s="682" t="s">
        <v>969</v>
      </c>
      <c r="Z155" s="682"/>
      <c r="AA155" s="682"/>
      <c r="AB155" s="682"/>
      <c r="AC155" s="682"/>
      <c r="AD155" s="682"/>
      <c r="AE155" s="682"/>
      <c r="AF155" s="682"/>
      <c r="AG155" s="682"/>
      <c r="AH155" s="682"/>
      <c r="AI155" s="682"/>
      <c r="AJ155" s="682"/>
      <c r="AK155" s="682"/>
      <c r="AL155" s="682"/>
      <c r="AM155" s="682"/>
      <c r="AN155" s="682"/>
      <c r="AO155" s="682"/>
      <c r="AP155" s="682"/>
      <c r="AQ155" s="682"/>
      <c r="AR155" s="682"/>
      <c r="AS155" s="682"/>
      <c r="AT155" s="682"/>
    </row>
    <row r="156" spans="1:46" s="489" customFormat="1">
      <c r="A156" s="57"/>
      <c r="B156" s="682"/>
      <c r="C156" s="257"/>
      <c r="D156" s="84" t="s">
        <v>93</v>
      </c>
      <c r="E156" s="1026">
        <f>Settings!N77</f>
        <v>7.0000000000000007E-2</v>
      </c>
      <c r="F156" s="489" t="s">
        <v>384</v>
      </c>
      <c r="J156" s="57"/>
      <c r="K156" s="79"/>
      <c r="L156" s="57"/>
      <c r="M156" s="102"/>
      <c r="N156" s="257"/>
      <c r="O156" s="84" t="s">
        <v>93</v>
      </c>
      <c r="P156" s="1026">
        <f>E156</f>
        <v>7.0000000000000007E-2</v>
      </c>
      <c r="Q156" s="489" t="s">
        <v>384</v>
      </c>
      <c r="U156" s="682"/>
      <c r="V156" s="682"/>
      <c r="W156" s="682"/>
      <c r="X156" s="682"/>
      <c r="Y156" s="682" t="s">
        <v>970</v>
      </c>
      <c r="Z156" s="682"/>
      <c r="AA156" s="682"/>
      <c r="AB156" s="682"/>
      <c r="AC156" s="682"/>
      <c r="AD156" s="682"/>
      <c r="AE156" s="682"/>
      <c r="AF156" s="682"/>
      <c r="AG156" s="682"/>
      <c r="AH156" s="682"/>
      <c r="AI156" s="682"/>
      <c r="AJ156" s="682"/>
      <c r="AK156" s="682"/>
      <c r="AL156" s="682"/>
      <c r="AM156" s="682"/>
      <c r="AN156" s="682"/>
      <c r="AO156" s="682"/>
      <c r="AP156" s="682"/>
      <c r="AQ156" s="682"/>
      <c r="AR156" s="682"/>
      <c r="AS156" s="682"/>
      <c r="AT156" s="682"/>
    </row>
    <row r="157" spans="1:46" s="489" customFormat="1">
      <c r="A157" s="57"/>
      <c r="B157" s="682"/>
      <c r="C157" s="257"/>
      <c r="D157" s="84" t="s">
        <v>94</v>
      </c>
      <c r="E157" s="1026">
        <f>Settings!J77</f>
        <v>0.04</v>
      </c>
      <c r="F157" s="489" t="s">
        <v>384</v>
      </c>
      <c r="J157" s="57"/>
      <c r="K157" s="79"/>
      <c r="L157" s="57"/>
      <c r="M157" s="102"/>
      <c r="N157" s="257"/>
      <c r="O157" s="84" t="s">
        <v>94</v>
      </c>
      <c r="P157" s="1026">
        <f t="shared" ref="P157:P167" si="0">E157</f>
        <v>0.04</v>
      </c>
      <c r="Q157" s="489" t="s">
        <v>384</v>
      </c>
      <c r="U157" s="682"/>
      <c r="V157" s="682"/>
      <c r="W157" s="682"/>
      <c r="X157" s="682"/>
      <c r="Y157" s="682" t="s">
        <v>964</v>
      </c>
      <c r="Z157" s="682"/>
      <c r="AA157" s="682"/>
      <c r="AB157" s="682"/>
      <c r="AC157" s="682"/>
      <c r="AD157" s="682"/>
      <c r="AE157" s="682"/>
      <c r="AF157" s="682"/>
      <c r="AG157" s="682"/>
      <c r="AH157" s="682"/>
      <c r="AI157" s="682"/>
      <c r="AJ157" s="682"/>
      <c r="AK157" s="682"/>
      <c r="AL157" s="682"/>
      <c r="AM157" s="682"/>
      <c r="AN157" s="682"/>
      <c r="AO157" s="682"/>
      <c r="AP157" s="682"/>
      <c r="AQ157" s="682"/>
      <c r="AR157" s="682"/>
      <c r="AS157" s="682"/>
      <c r="AT157" s="682"/>
    </row>
    <row r="158" spans="1:46" s="489" customFormat="1">
      <c r="A158" s="57"/>
      <c r="B158" s="682"/>
      <c r="C158" s="257"/>
      <c r="D158" s="84" t="s">
        <v>197</v>
      </c>
      <c r="E158" s="1026">
        <f>Settings!J79</f>
        <v>-2.5000000000000001E-2</v>
      </c>
      <c r="F158" s="88"/>
      <c r="J158" s="57"/>
      <c r="K158" s="79"/>
      <c r="L158" s="57"/>
      <c r="M158" s="102"/>
      <c r="N158" s="257"/>
      <c r="O158" s="84" t="s">
        <v>197</v>
      </c>
      <c r="P158" s="1026">
        <f t="shared" si="0"/>
        <v>-2.5000000000000001E-2</v>
      </c>
      <c r="Q158" s="88"/>
      <c r="U158" s="682"/>
      <c r="V158" s="682"/>
      <c r="W158" s="682"/>
      <c r="X158" s="682"/>
      <c r="Y158" s="682" t="s">
        <v>965</v>
      </c>
      <c r="Z158" s="682"/>
      <c r="AA158" s="682"/>
      <c r="AB158" s="682"/>
      <c r="AC158" s="682"/>
      <c r="AD158" s="682"/>
      <c r="AE158" s="682"/>
      <c r="AF158" s="682"/>
      <c r="AG158" s="682"/>
      <c r="AH158" s="682"/>
      <c r="AI158" s="682"/>
      <c r="AJ158" s="682"/>
      <c r="AK158" s="682"/>
      <c r="AL158" s="682"/>
      <c r="AM158" s="682"/>
      <c r="AN158" s="682"/>
      <c r="AO158" s="682"/>
      <c r="AP158" s="682"/>
      <c r="AQ158" s="682"/>
      <c r="AR158" s="682"/>
      <c r="AS158" s="682"/>
      <c r="AT158" s="682"/>
    </row>
    <row r="159" spans="1:46" s="489" customFormat="1">
      <c r="A159" s="57"/>
      <c r="B159" s="682"/>
      <c r="C159" s="257"/>
      <c r="D159" s="84" t="s">
        <v>136</v>
      </c>
      <c r="E159" s="1026">
        <f>Settings!J81</f>
        <v>2.5000000000000001E-2</v>
      </c>
      <c r="F159" s="193" t="s">
        <v>385</v>
      </c>
      <c r="J159" s="57"/>
      <c r="K159" s="79"/>
      <c r="L159" s="57"/>
      <c r="M159" s="102"/>
      <c r="N159" s="257"/>
      <c r="O159" s="84" t="s">
        <v>136</v>
      </c>
      <c r="P159" s="1026">
        <f t="shared" si="0"/>
        <v>2.5000000000000001E-2</v>
      </c>
      <c r="Q159" s="193" t="s">
        <v>385</v>
      </c>
      <c r="U159" s="682"/>
      <c r="V159" s="682"/>
      <c r="W159" s="682"/>
      <c r="X159" s="682"/>
      <c r="Y159" s="682" t="s">
        <v>1086</v>
      </c>
      <c r="Z159" s="682"/>
      <c r="AA159" s="682"/>
      <c r="AB159" s="682"/>
      <c r="AC159" s="682"/>
      <c r="AD159" s="682"/>
      <c r="AE159" s="682"/>
      <c r="AF159" s="682"/>
      <c r="AG159" s="682"/>
      <c r="AH159" s="682"/>
      <c r="AI159" s="682"/>
      <c r="AJ159" s="682"/>
      <c r="AK159" s="682"/>
      <c r="AL159" s="682"/>
      <c r="AM159" s="682"/>
      <c r="AN159" s="682"/>
      <c r="AO159" s="682"/>
      <c r="AP159" s="682"/>
      <c r="AQ159" s="682"/>
      <c r="AR159" s="682"/>
      <c r="AS159" s="682"/>
      <c r="AT159" s="682"/>
    </row>
    <row r="160" spans="1:46" s="489" customFormat="1">
      <c r="A160" s="57"/>
      <c r="B160" s="682"/>
      <c r="C160" s="257"/>
      <c r="D160" s="84" t="s">
        <v>163</v>
      </c>
      <c r="E160" s="1026">
        <f>'Admin Settings'!K110</f>
        <v>2.5000000000000001E-2</v>
      </c>
      <c r="F160" s="12" t="s">
        <v>385</v>
      </c>
      <c r="J160" s="57"/>
      <c r="K160" s="79"/>
      <c r="L160" s="57"/>
      <c r="M160" s="102"/>
      <c r="N160" s="257"/>
      <c r="O160" s="84" t="s">
        <v>163</v>
      </c>
      <c r="P160" s="1026">
        <f t="shared" si="0"/>
        <v>2.5000000000000001E-2</v>
      </c>
      <c r="Q160" s="12" t="s">
        <v>385</v>
      </c>
      <c r="U160" s="682"/>
      <c r="V160" s="682"/>
      <c r="W160" s="682"/>
      <c r="X160" s="682"/>
      <c r="Y160" s="682" t="s">
        <v>971</v>
      </c>
      <c r="Z160" s="682"/>
      <c r="AA160" s="682"/>
      <c r="AB160" s="682"/>
      <c r="AC160" s="682"/>
      <c r="AD160" s="682"/>
      <c r="AE160" s="682"/>
      <c r="AF160" s="682"/>
      <c r="AG160" s="682"/>
      <c r="AH160" s="682"/>
      <c r="AI160" s="682"/>
      <c r="AJ160" s="682"/>
      <c r="AK160" s="682"/>
      <c r="AL160" s="682"/>
      <c r="AM160" s="682"/>
      <c r="AN160" s="682"/>
      <c r="AO160" s="682"/>
      <c r="AP160" s="682"/>
      <c r="AQ160" s="682"/>
      <c r="AR160" s="682"/>
      <c r="AS160" s="682"/>
      <c r="AT160" s="682"/>
    </row>
    <row r="161" spans="1:46" s="489" customFormat="1">
      <c r="A161" s="57"/>
      <c r="B161" s="682"/>
      <c r="C161" s="257"/>
      <c r="D161" s="84" t="s">
        <v>164</v>
      </c>
      <c r="E161" s="1026">
        <f>Settings!N79</f>
        <v>2.5000000000000001E-2</v>
      </c>
      <c r="F161" s="489" t="s">
        <v>385</v>
      </c>
      <c r="G161" s="12"/>
      <c r="J161" s="57"/>
      <c r="K161" s="79"/>
      <c r="L161" s="57"/>
      <c r="M161" s="102"/>
      <c r="N161" s="257"/>
      <c r="O161" s="84" t="s">
        <v>164</v>
      </c>
      <c r="P161" s="1026">
        <f t="shared" si="0"/>
        <v>2.5000000000000001E-2</v>
      </c>
      <c r="Q161" s="489" t="s">
        <v>385</v>
      </c>
      <c r="R161" s="12"/>
      <c r="U161" s="682"/>
      <c r="V161" s="682"/>
      <c r="W161" s="682"/>
      <c r="X161" s="682"/>
      <c r="Y161" s="682" t="s">
        <v>1053</v>
      </c>
      <c r="Z161" s="682"/>
      <c r="AA161" s="682"/>
      <c r="AB161" s="682"/>
      <c r="AC161" s="682"/>
      <c r="AD161" s="682"/>
      <c r="AE161" s="682"/>
      <c r="AF161" s="682"/>
      <c r="AG161" s="682"/>
      <c r="AH161" s="682"/>
      <c r="AI161" s="682"/>
      <c r="AJ161" s="682"/>
      <c r="AK161" s="682"/>
      <c r="AL161" s="682"/>
      <c r="AM161" s="682"/>
      <c r="AN161" s="682"/>
      <c r="AO161" s="682"/>
      <c r="AP161" s="682"/>
      <c r="AQ161" s="682"/>
      <c r="AR161" s="682"/>
      <c r="AS161" s="682"/>
      <c r="AT161" s="682"/>
    </row>
    <row r="162" spans="1:46" s="489" customFormat="1">
      <c r="A162" s="57"/>
      <c r="B162" s="682"/>
      <c r="C162" s="257"/>
      <c r="D162" s="84" t="s">
        <v>138</v>
      </c>
      <c r="E162" s="1026">
        <f>Settings!J63</f>
        <v>2.5000000000000001E-2</v>
      </c>
      <c r="J162" s="57"/>
      <c r="K162" s="79"/>
      <c r="L162" s="57"/>
      <c r="M162" s="102"/>
      <c r="N162" s="257"/>
      <c r="O162" s="84" t="s">
        <v>138</v>
      </c>
      <c r="P162" s="1026">
        <f t="shared" si="0"/>
        <v>2.5000000000000001E-2</v>
      </c>
      <c r="U162" s="682"/>
      <c r="V162" s="682"/>
      <c r="W162" s="682"/>
      <c r="X162" s="682"/>
      <c r="Y162" s="682"/>
      <c r="Z162" s="682"/>
      <c r="AA162" s="682"/>
      <c r="AB162" s="682"/>
      <c r="AC162" s="682"/>
      <c r="AD162" s="682"/>
      <c r="AE162" s="682"/>
      <c r="AF162" s="682"/>
      <c r="AG162" s="682"/>
      <c r="AH162" s="682"/>
      <c r="AI162" s="682"/>
      <c r="AJ162" s="682"/>
      <c r="AK162" s="682"/>
      <c r="AL162" s="682"/>
      <c r="AM162" s="682"/>
      <c r="AN162" s="682"/>
      <c r="AO162" s="682"/>
      <c r="AP162" s="682"/>
      <c r="AQ162" s="682"/>
      <c r="AR162" s="682"/>
      <c r="AS162" s="682"/>
      <c r="AT162" s="682"/>
    </row>
    <row r="163" spans="1:46" s="489" customFormat="1">
      <c r="A163" s="57"/>
      <c r="B163" s="682"/>
      <c r="C163" s="682"/>
      <c r="D163" s="84" t="s">
        <v>153</v>
      </c>
      <c r="E163" s="1026">
        <f>Settings!J63</f>
        <v>2.5000000000000001E-2</v>
      </c>
      <c r="F163" s="98"/>
      <c r="J163" s="57"/>
      <c r="K163" s="79"/>
      <c r="L163" s="57"/>
      <c r="M163" s="102"/>
      <c r="N163" s="682"/>
      <c r="O163" s="84" t="s">
        <v>153</v>
      </c>
      <c r="P163" s="1026">
        <f t="shared" si="0"/>
        <v>2.5000000000000001E-2</v>
      </c>
      <c r="Q163" s="98"/>
      <c r="U163" s="682"/>
      <c r="V163" s="682"/>
      <c r="W163" s="682"/>
      <c r="X163" s="682"/>
      <c r="Y163" s="682"/>
      <c r="Z163" s="682"/>
      <c r="AA163" s="682"/>
      <c r="AB163" s="682"/>
      <c r="AC163" s="682"/>
      <c r="AD163" s="682"/>
      <c r="AE163" s="682"/>
      <c r="AF163" s="682"/>
      <c r="AG163" s="682"/>
      <c r="AH163" s="682"/>
      <c r="AI163" s="682"/>
      <c r="AJ163" s="682"/>
      <c r="AK163" s="682"/>
      <c r="AL163" s="682"/>
      <c r="AM163" s="682"/>
      <c r="AN163" s="682"/>
      <c r="AO163" s="682"/>
      <c r="AP163" s="682"/>
      <c r="AQ163" s="682"/>
      <c r="AR163" s="682"/>
      <c r="AS163" s="682"/>
      <c r="AT163" s="682"/>
    </row>
    <row r="164" spans="1:46" s="489" customFormat="1">
      <c r="A164" s="57"/>
      <c r="B164" s="682"/>
      <c r="C164" s="431"/>
      <c r="D164" s="803" t="s">
        <v>901</v>
      </c>
      <c r="E164" s="1029">
        <f>Settings!J59</f>
        <v>0.03</v>
      </c>
      <c r="F164" s="98"/>
      <c r="J164" s="57"/>
      <c r="K164" s="79"/>
      <c r="L164" s="57"/>
      <c r="M164" s="102"/>
      <c r="N164" s="431"/>
      <c r="O164" s="803" t="s">
        <v>901</v>
      </c>
      <c r="P164" s="1026">
        <f t="shared" si="0"/>
        <v>0.03</v>
      </c>
      <c r="Q164" s="98"/>
      <c r="U164" s="682"/>
      <c r="V164" s="682"/>
      <c r="W164" s="682"/>
      <c r="X164" s="682"/>
      <c r="Y164" s="682"/>
      <c r="Z164" s="682"/>
      <c r="AA164" s="682"/>
      <c r="AB164" s="682"/>
      <c r="AC164" s="682"/>
      <c r="AD164" s="682"/>
      <c r="AE164" s="682"/>
      <c r="AF164" s="682"/>
      <c r="AG164" s="682"/>
      <c r="AH164" s="682"/>
      <c r="AI164" s="682"/>
      <c r="AJ164" s="682"/>
      <c r="AK164" s="682"/>
      <c r="AL164" s="682"/>
      <c r="AM164" s="682"/>
      <c r="AN164" s="682"/>
      <c r="AO164" s="682"/>
      <c r="AP164" s="682"/>
      <c r="AQ164" s="682"/>
      <c r="AR164" s="682"/>
      <c r="AS164" s="682"/>
      <c r="AT164" s="682"/>
    </row>
    <row r="165" spans="1:46" s="489" customFormat="1">
      <c r="A165" s="57"/>
      <c r="B165" s="682"/>
      <c r="C165" s="682"/>
      <c r="D165" s="84" t="s">
        <v>165</v>
      </c>
      <c r="E165" s="1026">
        <f>Settings!N81</f>
        <v>2.5000000000000001E-2</v>
      </c>
      <c r="F165" s="98"/>
      <c r="J165" s="57"/>
      <c r="K165" s="79"/>
      <c r="L165" s="57"/>
      <c r="M165" s="102"/>
      <c r="N165" s="682"/>
      <c r="O165" s="84" t="s">
        <v>165</v>
      </c>
      <c r="P165" s="1026">
        <f t="shared" si="0"/>
        <v>2.5000000000000001E-2</v>
      </c>
      <c r="Q165" s="98"/>
      <c r="U165" s="682"/>
      <c r="V165" s="682"/>
      <c r="W165" s="682"/>
      <c r="X165" s="682"/>
      <c r="Y165" s="682"/>
      <c r="Z165" s="682"/>
      <c r="AA165" s="682"/>
      <c r="AB165" s="682"/>
      <c r="AC165" s="682"/>
      <c r="AD165" s="682"/>
      <c r="AE165" s="682"/>
      <c r="AF165" s="682"/>
      <c r="AG165" s="682"/>
      <c r="AH165" s="682"/>
      <c r="AI165" s="682"/>
      <c r="AJ165" s="682"/>
      <c r="AK165" s="682"/>
      <c r="AL165" s="682"/>
      <c r="AM165" s="682"/>
      <c r="AN165" s="682"/>
      <c r="AO165" s="682"/>
      <c r="AP165" s="682"/>
      <c r="AQ165" s="682"/>
      <c r="AR165" s="682"/>
      <c r="AS165" s="682"/>
      <c r="AT165" s="682"/>
    </row>
    <row r="166" spans="1:46" s="489" customFormat="1">
      <c r="A166" s="57"/>
      <c r="B166" s="682"/>
      <c r="C166" s="682"/>
      <c r="D166" s="84" t="s">
        <v>166</v>
      </c>
      <c r="E166" s="1026">
        <f>Settings!N83</f>
        <v>2.5000000000000001E-2</v>
      </c>
      <c r="F166" s="98"/>
      <c r="J166" s="57"/>
      <c r="K166" s="79"/>
      <c r="L166" s="57"/>
      <c r="M166" s="102"/>
      <c r="N166" s="682"/>
      <c r="O166" s="84" t="s">
        <v>166</v>
      </c>
      <c r="P166" s="1026">
        <f t="shared" si="0"/>
        <v>2.5000000000000001E-2</v>
      </c>
      <c r="Q166" s="98"/>
      <c r="U166" s="682"/>
      <c r="V166" s="682"/>
      <c r="W166" s="682"/>
      <c r="X166" s="682"/>
      <c r="Y166" s="682"/>
      <c r="Z166" s="682"/>
      <c r="AA166" s="682"/>
      <c r="AB166" s="682"/>
      <c r="AC166" s="682"/>
      <c r="AD166" s="682"/>
      <c r="AE166" s="682"/>
      <c r="AF166" s="682"/>
      <c r="AG166" s="682"/>
      <c r="AH166" s="682"/>
      <c r="AI166" s="682"/>
      <c r="AJ166" s="682"/>
      <c r="AK166" s="682"/>
      <c r="AL166" s="682"/>
      <c r="AM166" s="682"/>
      <c r="AN166" s="682"/>
      <c r="AO166" s="682"/>
      <c r="AP166" s="682"/>
      <c r="AQ166" s="682"/>
      <c r="AR166" s="682"/>
      <c r="AS166" s="682"/>
      <c r="AT166" s="682"/>
    </row>
    <row r="167" spans="1:46" s="489" customFormat="1">
      <c r="A167" s="57"/>
      <c r="B167" s="682"/>
      <c r="C167" s="682"/>
      <c r="D167" s="84" t="s">
        <v>167</v>
      </c>
      <c r="E167" s="1026">
        <f>Settings!J83</f>
        <v>2.5000000000000001E-2</v>
      </c>
      <c r="F167" s="98"/>
      <c r="J167" s="57"/>
      <c r="K167" s="79"/>
      <c r="L167" s="57"/>
      <c r="M167" s="102"/>
      <c r="N167" s="682"/>
      <c r="O167" s="84" t="s">
        <v>167</v>
      </c>
      <c r="P167" s="1026">
        <f t="shared" si="0"/>
        <v>2.5000000000000001E-2</v>
      </c>
      <c r="Q167" s="98"/>
      <c r="U167" s="682"/>
      <c r="V167" s="682"/>
      <c r="W167" s="682"/>
      <c r="X167" s="682"/>
      <c r="Y167" s="682"/>
      <c r="Z167" s="682"/>
      <c r="AA167" s="682"/>
      <c r="AB167" s="682"/>
      <c r="AC167" s="682"/>
      <c r="AD167" s="682"/>
      <c r="AE167" s="682"/>
      <c r="AF167" s="682"/>
      <c r="AG167" s="682"/>
      <c r="AH167" s="682"/>
      <c r="AI167" s="682"/>
      <c r="AJ167" s="682"/>
      <c r="AK167" s="682"/>
      <c r="AL167" s="682"/>
      <c r="AM167" s="682"/>
      <c r="AN167" s="682"/>
      <c r="AO167" s="682"/>
      <c r="AP167" s="682"/>
      <c r="AQ167" s="682"/>
      <c r="AR167" s="682"/>
      <c r="AS167" s="682"/>
      <c r="AT167" s="682"/>
    </row>
    <row r="168" spans="1:46">
      <c r="B168" s="682"/>
      <c r="C168" s="682"/>
      <c r="D168" s="489"/>
      <c r="E168" s="12"/>
      <c r="F168" s="489"/>
      <c r="G168" s="489"/>
      <c r="H168" s="489"/>
      <c r="I168" s="489"/>
      <c r="K168" s="79"/>
      <c r="M168" s="102"/>
      <c r="N168" s="682"/>
      <c r="O168" s="489"/>
      <c r="P168" s="12"/>
      <c r="Q168" s="489"/>
      <c r="R168" s="489"/>
      <c r="S168" s="489"/>
      <c r="T168" s="489"/>
    </row>
    <row r="169" spans="1:46" s="489" customFormat="1">
      <c r="A169" s="57"/>
      <c r="B169" s="79"/>
      <c r="C169" s="79"/>
      <c r="D169" s="79"/>
      <c r="E169" s="79"/>
      <c r="F169" s="79"/>
      <c r="G169" s="79"/>
      <c r="H169" s="79"/>
      <c r="I169" s="79"/>
      <c r="J169" s="57"/>
      <c r="K169" s="79"/>
      <c r="L169" s="57"/>
      <c r="M169" s="780"/>
      <c r="N169" s="780"/>
      <c r="O169" s="780"/>
      <c r="P169" s="780"/>
      <c r="Q169" s="780"/>
      <c r="R169" s="780"/>
      <c r="S169" s="780"/>
      <c r="T169" s="780"/>
      <c r="U169" s="682"/>
      <c r="V169" s="682"/>
      <c r="W169" s="682"/>
      <c r="X169" s="682"/>
      <c r="Y169" s="682"/>
      <c r="Z169" s="682"/>
      <c r="AA169" s="682"/>
      <c r="AB169" s="682"/>
      <c r="AC169" s="682"/>
      <c r="AD169" s="682"/>
      <c r="AE169" s="682"/>
      <c r="AF169" s="682"/>
      <c r="AG169" s="682"/>
      <c r="AH169" s="682"/>
      <c r="AI169" s="682"/>
      <c r="AJ169" s="682"/>
      <c r="AK169" s="682"/>
      <c r="AL169" s="682"/>
      <c r="AM169" s="682"/>
      <c r="AN169" s="682"/>
      <c r="AO169" s="682"/>
      <c r="AP169" s="682"/>
      <c r="AQ169" s="682"/>
      <c r="AR169" s="682"/>
      <c r="AS169" s="682"/>
      <c r="AT169" s="682"/>
    </row>
    <row r="173" spans="1:46">
      <c r="W173" s="978"/>
    </row>
  </sheetData>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sheetPr>
  <dimension ref="A1:CX317"/>
  <sheetViews>
    <sheetView showGridLines="0" tabSelected="1" topLeftCell="O1" zoomScale="85" zoomScaleNormal="85" workbookViewId="0">
      <selection activeCell="V46" sqref="V46:X46"/>
    </sheetView>
    <sheetView topLeftCell="O1" workbookViewId="1">
      <selection activeCell="V38" sqref="V38:X38"/>
    </sheetView>
  </sheetViews>
  <sheetFormatPr defaultColWidth="3.5" defaultRowHeight="15.75"/>
  <cols>
    <col min="1" max="14" width="4.875" style="543" hidden="1" customWidth="1"/>
    <col min="15" max="15" width="4.75" style="543" customWidth="1"/>
    <col min="16" max="20" width="3.5" style="543"/>
    <col min="21" max="21" width="4.625" style="543" customWidth="1"/>
    <col min="22" max="22" width="3.5" style="543"/>
    <col min="23" max="23" width="6.25" style="543" customWidth="1"/>
    <col min="24" max="24" width="7.75" style="543" customWidth="1"/>
    <col min="25" max="25" width="1.125" style="543" customWidth="1"/>
    <col min="26" max="26" width="1.75" style="543" customWidth="1"/>
    <col min="27" max="27" width="2.625" style="543" hidden="1" customWidth="1"/>
    <col min="28" max="28" width="2.75" style="543" customWidth="1"/>
    <col min="29" max="29" width="4.125" style="543" customWidth="1"/>
    <col min="30" max="30" width="10.5" style="543" customWidth="1"/>
    <col min="31" max="31" width="3.5" style="543"/>
    <col min="32" max="33" width="3.625" style="543" customWidth="1"/>
    <col min="34" max="34" width="3.5" style="543"/>
    <col min="35" max="35" width="1.25" style="543" customWidth="1"/>
    <col min="36" max="36" width="4.125" style="543" customWidth="1"/>
    <col min="37" max="37" width="1.5" style="543" customWidth="1"/>
    <col min="38" max="38" width="3.375" style="543" customWidth="1"/>
    <col min="39" max="39" width="3" style="543" customWidth="1"/>
    <col min="40" max="40" width="3.125" style="543" customWidth="1"/>
    <col min="41" max="41" width="0.75" style="543" customWidth="1"/>
    <col min="42" max="42" width="3.25" style="543" customWidth="1"/>
    <col min="43" max="43" width="3" style="543" customWidth="1"/>
    <col min="44" max="44" width="3.25" style="543" customWidth="1"/>
    <col min="45" max="59" width="8.375" style="543" customWidth="1"/>
    <col min="60" max="60" width="0.75" style="543" customWidth="1"/>
    <col min="61" max="61" width="3.25" style="543" customWidth="1"/>
    <col min="62" max="62" width="5" style="543" customWidth="1"/>
    <col min="63" max="63" width="3.125" style="543" customWidth="1"/>
    <col min="64" max="64" width="3.25" style="543" customWidth="1"/>
    <col min="65" max="66" width="3" style="543" customWidth="1"/>
    <col min="67" max="69" width="3.125" style="543" customWidth="1"/>
    <col min="70" max="70" width="3.25" style="543" customWidth="1"/>
    <col min="71" max="71" width="3" style="543" customWidth="1"/>
    <col min="72" max="72" width="3.125" style="543" customWidth="1"/>
    <col min="73" max="78" width="3" style="543" customWidth="1"/>
    <col min="79" max="16384" width="3.5" style="543"/>
  </cols>
  <sheetData>
    <row r="1" spans="14:102" ht="27.75" customHeight="1">
      <c r="N1" s="544"/>
      <c r="O1" s="544"/>
      <c r="P1" s="1322" t="s">
        <v>570</v>
      </c>
      <c r="Q1" s="1322"/>
      <c r="R1" s="1322"/>
      <c r="S1" s="1322"/>
      <c r="T1" s="1322"/>
      <c r="U1" s="1322"/>
      <c r="V1" s="1322"/>
      <c r="W1" s="1322"/>
      <c r="X1" s="1322"/>
      <c r="Y1" s="1322"/>
      <c r="Z1" s="1322"/>
      <c r="AA1" s="1322"/>
      <c r="AB1" s="1322"/>
      <c r="AC1" s="1322"/>
      <c r="AD1" s="1322"/>
    </row>
    <row r="2" spans="14:102" ht="18.75" customHeight="1">
      <c r="N2" s="544"/>
      <c r="O2" s="544"/>
      <c r="P2" s="1322"/>
      <c r="Q2" s="1322"/>
      <c r="R2" s="1322"/>
      <c r="S2" s="1322"/>
      <c r="T2" s="1322"/>
      <c r="U2" s="1322"/>
      <c r="V2" s="1322"/>
      <c r="W2" s="1322"/>
      <c r="X2" s="1322"/>
      <c r="Y2" s="1322"/>
      <c r="Z2" s="1322"/>
      <c r="AA2" s="1322"/>
      <c r="AB2" s="1322"/>
      <c r="AC2" s="1322"/>
      <c r="AD2" s="1322"/>
      <c r="AL2" s="550"/>
      <c r="AO2" s="550"/>
      <c r="AP2" s="550"/>
      <c r="AY2" s="546" t="s">
        <v>1180</v>
      </c>
      <c r="AZ2" s="609">
        <v>0.5</v>
      </c>
    </row>
    <row r="3" spans="14:102" ht="3.75" customHeight="1">
      <c r="N3" s="544"/>
      <c r="O3" s="544"/>
      <c r="P3" s="1322"/>
      <c r="Q3" s="1322"/>
      <c r="R3" s="1322"/>
      <c r="S3" s="1322"/>
      <c r="T3" s="1322"/>
      <c r="U3" s="1322"/>
      <c r="V3" s="1322"/>
      <c r="W3" s="1322"/>
      <c r="X3" s="1322"/>
      <c r="Y3" s="1322"/>
      <c r="Z3" s="1322"/>
      <c r="AA3" s="1322"/>
      <c r="AB3" s="1322"/>
      <c r="AC3" s="1322"/>
      <c r="AD3" s="1322"/>
      <c r="AY3" s="546"/>
      <c r="AZ3" s="769"/>
      <c r="BT3" s="543">
        <v>59159.478570621301</v>
      </c>
    </row>
    <row r="4" spans="14:102" ht="18.75" customHeight="1">
      <c r="N4" s="544"/>
      <c r="O4" s="544"/>
      <c r="P4" s="1322"/>
      <c r="Q4" s="1322"/>
      <c r="R4" s="1322"/>
      <c r="S4" s="1322"/>
      <c r="T4" s="1322"/>
      <c r="U4" s="1322"/>
      <c r="V4" s="1322"/>
      <c r="W4" s="1322"/>
      <c r="X4" s="1322"/>
      <c r="Y4" s="1322"/>
      <c r="Z4" s="1322"/>
      <c r="AA4" s="1322"/>
      <c r="AB4" s="1322"/>
      <c r="AC4" s="1322"/>
      <c r="AD4" s="1322"/>
      <c r="AY4" s="546" t="s">
        <v>892</v>
      </c>
      <c r="AZ4" s="1331" t="s">
        <v>1309</v>
      </c>
      <c r="BA4" s="1332"/>
      <c r="BB4" s="1332"/>
      <c r="BC4" s="1333"/>
    </row>
    <row r="5" spans="14:102" ht="20.25" customHeight="1">
      <c r="N5" s="544"/>
      <c r="O5" s="544"/>
      <c r="P5" s="547"/>
      <c r="Q5" s="547"/>
      <c r="R5" s="547"/>
      <c r="S5" s="547"/>
      <c r="T5" s="547"/>
      <c r="U5" s="547"/>
      <c r="W5" s="547"/>
      <c r="X5" s="547"/>
      <c r="Y5" s="547"/>
      <c r="AC5" s="1334" t="str">
        <f>IF('Test Sheet'!AG21=0,"Your client currently does not qualify for the Age Pension", IF(AH30="Full","Your client is eligible for the full Age Pension: "&amp;TEXT('Test Sheet'!AG21/26,"$#,###.00")&amp;" (fortnightly)","Estimated fortnightly Age Pension: "&amp;TEXT(IF('Test Sheet'!AG21=0,"$0",'Test Sheet'!AG21/26),"$#,###.00"&amp;"")))</f>
        <v>Estimated fortnightly Age Pension: $469.65</v>
      </c>
      <c r="AD5" s="1334"/>
      <c r="AE5" s="1334"/>
      <c r="AF5" s="1334"/>
      <c r="AG5" s="1334"/>
      <c r="AH5" s="1334"/>
      <c r="AI5" s="1334"/>
      <c r="AJ5" s="1334"/>
      <c r="AK5" s="1334"/>
      <c r="AL5" s="1334"/>
      <c r="AM5" s="1334"/>
      <c r="AN5" s="1334"/>
      <c r="AO5" s="545"/>
      <c r="AS5" s="1335" t="s">
        <v>1187</v>
      </c>
      <c r="AT5" s="1335"/>
      <c r="CT5" s="548"/>
      <c r="CX5" s="549"/>
    </row>
    <row r="6" spans="14:102" ht="21" customHeight="1">
      <c r="N6" s="544"/>
      <c r="O6" s="551"/>
      <c r="P6" s="1080" t="s">
        <v>510</v>
      </c>
      <c r="Q6" s="1081"/>
      <c r="R6" s="1081"/>
      <c r="S6" s="1082"/>
      <c r="T6" s="1081"/>
      <c r="U6" s="1081"/>
      <c r="V6" s="1081"/>
      <c r="W6" s="1081"/>
      <c r="X6" s="1081"/>
      <c r="Y6" s="1083"/>
      <c r="AB6" s="1061"/>
      <c r="AC6" s="1334"/>
      <c r="AD6" s="1334"/>
      <c r="AE6" s="1334"/>
      <c r="AF6" s="1334"/>
      <c r="AG6" s="1334"/>
      <c r="AH6" s="1334"/>
      <c r="AI6" s="1334"/>
      <c r="AJ6" s="1334"/>
      <c r="AK6" s="1334"/>
      <c r="AL6" s="1334"/>
      <c r="AM6" s="1334"/>
      <c r="AN6" s="1334"/>
      <c r="AO6" s="1046"/>
      <c r="AS6" s="1335"/>
      <c r="AT6" s="1335"/>
      <c r="AU6" s="1321" t="str">
        <f ca="1">IF('Age Pension additional calcs'!P36=0,"‒ The withdrawal value at the end of year 15 remained unchanged",""&amp;IF('Age Pension additional calcs'!P35&gt;0,"↑","↓")&amp;" "&amp;IF('Age Pension additional calcs'!P36&gt;0,"Estimated to provide an increased end of year 15 portfolio value of","Estimated to provide a lower end of year 15 portfolio value of")&amp;" "&amp;TEXT('Age Pension additional calcs'!P36,"$#,###")&amp;" ("&amp;TEXT('Age Pension additional calcs'!P35,"$#,###")&amp;" today's dollars)")</f>
        <v>↑ Estimated to provide an increased end of year 15 portfolio value of $42,698 ($29,482 today's dollars)</v>
      </c>
      <c r="AV6" s="1321"/>
      <c r="AW6" s="1321"/>
      <c r="AX6" s="1321"/>
      <c r="AY6" s="1321"/>
      <c r="AZ6" s="1321"/>
      <c r="BA6" s="1321"/>
      <c r="BB6" s="1321"/>
      <c r="BC6" s="1321"/>
      <c r="BD6" s="1321"/>
      <c r="BE6" s="1321"/>
      <c r="BF6" s="1321"/>
      <c r="BG6" s="1321"/>
      <c r="BH6" s="1050"/>
      <c r="BK6" s="550"/>
      <c r="BL6" s="550"/>
      <c r="BM6" s="550"/>
      <c r="BN6" s="550"/>
      <c r="BO6" s="550"/>
      <c r="BP6" s="550"/>
      <c r="BQ6" s="550"/>
      <c r="BR6" s="550"/>
      <c r="BS6" s="550"/>
      <c r="BT6" s="550"/>
      <c r="BU6" s="550"/>
    </row>
    <row r="7" spans="14:102" ht="3.75" customHeight="1">
      <c r="O7" s="553"/>
      <c r="P7" s="554"/>
      <c r="Q7" s="555"/>
      <c r="R7" s="555"/>
      <c r="S7" s="555"/>
      <c r="T7" s="555"/>
      <c r="U7" s="555"/>
      <c r="V7" s="556"/>
      <c r="W7" s="556"/>
      <c r="X7" s="556"/>
      <c r="Y7" s="557"/>
      <c r="AB7" s="1047"/>
      <c r="AC7" s="1047"/>
      <c r="AD7" s="1047"/>
      <c r="AE7" s="1047"/>
      <c r="AF7" s="1047"/>
      <c r="AG7" s="1047"/>
      <c r="AH7" s="1047"/>
      <c r="AI7" s="1047"/>
      <c r="AJ7" s="1047"/>
      <c r="AK7" s="1047"/>
      <c r="AL7" s="1047"/>
      <c r="AM7" s="1047"/>
      <c r="AN7" s="1070"/>
      <c r="AO7" s="545"/>
      <c r="AP7" s="1075"/>
      <c r="AQ7" s="1089"/>
      <c r="AR7" s="1089"/>
      <c r="AS7" s="1335"/>
      <c r="AT7" s="1335"/>
      <c r="AU7" s="1321"/>
      <c r="AV7" s="1321"/>
      <c r="AW7" s="1321"/>
      <c r="AX7" s="1321"/>
      <c r="AY7" s="1321"/>
      <c r="AZ7" s="1321"/>
      <c r="BA7" s="1321"/>
      <c r="BB7" s="1321"/>
      <c r="BC7" s="1321"/>
      <c r="BD7" s="1321"/>
      <c r="BE7" s="1321"/>
      <c r="BF7" s="1321"/>
      <c r="BG7" s="1321"/>
      <c r="BH7" s="1051"/>
      <c r="BK7" s="550"/>
      <c r="BL7" s="550"/>
      <c r="BM7" s="550"/>
      <c r="BN7" s="550"/>
      <c r="BO7" s="550"/>
      <c r="BP7" s="550"/>
      <c r="BQ7" s="550"/>
      <c r="BR7" s="550"/>
      <c r="BS7" s="550"/>
      <c r="BT7" s="550"/>
      <c r="BU7" s="550"/>
    </row>
    <row r="8" spans="14:102" ht="18.75" customHeight="1">
      <c r="O8" s="553"/>
      <c r="P8" s="558" t="s">
        <v>508</v>
      </c>
      <c r="Q8" s="555"/>
      <c r="R8" s="555"/>
      <c r="S8" s="555"/>
      <c r="T8" s="555"/>
      <c r="U8" s="555"/>
      <c r="V8" s="1291" t="s">
        <v>10</v>
      </c>
      <c r="W8" s="1292"/>
      <c r="X8" s="1293"/>
      <c r="Y8" s="557"/>
      <c r="AC8" s="1264" t="str">
        <f>IF('Age Pension additional calcs'!I39=0,"From 1 January 2017 your client will cease receiving the Age Pension due to the Assets Test taper rate change ","From 1 January 2017 the fortnightly pension will decrease to "&amp;TEXT('Age Pension additional calcs'!I39,"$#,###")&amp;" (a reduction of "&amp;TEXT('Age Pension additional calcs'!I40,"$#,###")&amp;") due to the Assets Test taper rate change")</f>
        <v xml:space="preserve">From 1 January 2017 your client will cease receiving the Age Pension due to the Assets Test taper rate change </v>
      </c>
      <c r="AD8" s="1264"/>
      <c r="AE8" s="1264"/>
      <c r="AF8" s="1264"/>
      <c r="AG8" s="1264"/>
      <c r="AH8" s="1264"/>
      <c r="AI8" s="1264"/>
      <c r="AJ8" s="1264"/>
      <c r="AK8" s="1264"/>
      <c r="AL8" s="1264"/>
      <c r="AM8" s="1076"/>
      <c r="AO8" s="545"/>
      <c r="AP8" s="1075"/>
      <c r="AQ8" s="1089"/>
      <c r="AR8" s="1089"/>
      <c r="AS8" s="1335"/>
      <c r="AT8" s="1335"/>
      <c r="AU8" s="1321" t="str">
        <f>""&amp;IF('Age Pension additional calcs'!P39=0,"‒ Cashflow remained unchanged. Target cashflow met "&amp;ROUND('Age Pension additional calcs'!P43*100,0)&amp;"% of the time",IF('Age Pension additional calcs'!P39=0,"",IF('Age Pension additional calcs'!P39&gt;0,"↑ Increased cashflow of ","↓ Decreased cashflow of "))&amp;""&amp;TEXT((IF('Age Pension additional calcs'!P40&lt;0,-'Age Pension additional calcs'!P40,'Age Pension additional calcs'!P40)),"$#,###")&amp;" ("&amp;TEXT((IF('Age Pension additional calcs'!P39&lt;0,-'Age Pension additional calcs'!P39,'Age Pension additional calcs'!P39)),"$#,###")&amp;" today's dollars). Met target cashflow "&amp;ROUND(('Age Pension additional calcs'!P43*100),0)&amp;"% of the time")</f>
        <v>‒ Cashflow remained unchanged. Target cashflow met 100% of the time</v>
      </c>
      <c r="AV8" s="1321"/>
      <c r="AW8" s="1321"/>
      <c r="AX8" s="1321"/>
      <c r="AY8" s="1321"/>
      <c r="AZ8" s="1321"/>
      <c r="BA8" s="1321"/>
      <c r="BB8" s="1321"/>
      <c r="BC8" s="1321"/>
      <c r="BD8" s="1321"/>
      <c r="BE8" s="1321"/>
      <c r="BF8" s="1321"/>
      <c r="BG8" s="1321"/>
      <c r="BH8" s="1051"/>
      <c r="BK8" s="550"/>
      <c r="BL8" s="550"/>
      <c r="BM8" s="550"/>
      <c r="BN8" s="550"/>
      <c r="BO8" s="550"/>
      <c r="BP8" s="550"/>
      <c r="BQ8" s="550"/>
      <c r="BR8" s="550"/>
      <c r="BS8" s="550"/>
      <c r="BT8" s="550"/>
      <c r="BU8" s="550"/>
    </row>
    <row r="9" spans="14:102" ht="3.75" customHeight="1" thickBot="1">
      <c r="O9" s="553"/>
      <c r="P9" s="559"/>
      <c r="Q9" s="560"/>
      <c r="R9" s="560"/>
      <c r="S9" s="560"/>
      <c r="T9" s="560"/>
      <c r="U9" s="560"/>
      <c r="V9" s="560"/>
      <c r="W9" s="560"/>
      <c r="X9" s="560"/>
      <c r="Y9" s="561"/>
      <c r="AC9" s="1264"/>
      <c r="AD9" s="1264"/>
      <c r="AE9" s="1264"/>
      <c r="AF9" s="1264"/>
      <c r="AG9" s="1264"/>
      <c r="AH9" s="1264"/>
      <c r="AI9" s="1264"/>
      <c r="AJ9" s="1264"/>
      <c r="AK9" s="1264"/>
      <c r="AL9" s="1264"/>
      <c r="AM9" s="1076"/>
      <c r="AO9" s="545"/>
      <c r="AP9" s="1075"/>
      <c r="AQ9" s="1089"/>
      <c r="AR9" s="1089"/>
      <c r="AS9" s="1335"/>
      <c r="AT9" s="1335"/>
      <c r="AU9" s="1321"/>
      <c r="AV9" s="1321"/>
      <c r="AW9" s="1321"/>
      <c r="AX9" s="1321"/>
      <c r="AY9" s="1321"/>
      <c r="AZ9" s="1321"/>
      <c r="BA9" s="1321"/>
      <c r="BB9" s="1321"/>
      <c r="BC9" s="1321"/>
      <c r="BD9" s="1321"/>
      <c r="BE9" s="1321"/>
      <c r="BF9" s="1321"/>
      <c r="BG9" s="1321"/>
      <c r="BH9" s="1047"/>
      <c r="BK9" s="550"/>
      <c r="BL9" s="550"/>
      <c r="BM9" s="550"/>
      <c r="BN9" s="550"/>
      <c r="BO9" s="550"/>
      <c r="BP9" s="550"/>
      <c r="BQ9" s="550"/>
      <c r="BR9" s="550"/>
      <c r="BS9" s="550"/>
      <c r="BT9" s="550"/>
      <c r="BU9" s="550"/>
    </row>
    <row r="10" spans="14:102" ht="3.75" customHeight="1" thickTop="1">
      <c r="O10" s="553"/>
      <c r="P10" s="562"/>
      <c r="Q10" s="563"/>
      <c r="R10" s="563"/>
      <c r="S10" s="563"/>
      <c r="T10" s="564"/>
      <c r="U10" s="564"/>
      <c r="V10" s="565"/>
      <c r="W10" s="556"/>
      <c r="X10" s="556"/>
      <c r="Y10" s="566"/>
      <c r="AC10" s="1264"/>
      <c r="AD10" s="1264"/>
      <c r="AE10" s="1264"/>
      <c r="AF10" s="1264"/>
      <c r="AG10" s="1264"/>
      <c r="AH10" s="1264"/>
      <c r="AI10" s="1264"/>
      <c r="AJ10" s="1264"/>
      <c r="AK10" s="1264"/>
      <c r="AL10" s="1264"/>
      <c r="AM10" s="1076"/>
      <c r="AO10" s="545"/>
      <c r="AP10" s="1075"/>
      <c r="AQ10" s="1089"/>
      <c r="AR10" s="1089"/>
      <c r="AS10" s="1335"/>
      <c r="AT10" s="1335"/>
      <c r="AU10" s="1321" t="str">
        <f>IF('Age Pension additional calcs'!P37=0,"‒ Total Age Pension benefits remained the same as the existing portfolio",""&amp;IF('Age Pension additional calcs'!P37&gt;0,"↑ Projected increase in Age Pension entitlements over 15 years of","↓ Decreases the Age Pension over 15 years by ")&amp;" "&amp;TEXT('Age Pension additional calcs'!P38,"$#,###")&amp;" ("&amp;TEXT(IF('Age Pension additional calcs'!P37&lt;0,-'Age Pension additional calcs'!P37,'Age Pension additional calcs'!P37),"$#,###")&amp;" today's dollars)")</f>
        <v>↑ Projected increase in Age Pension entitlements over 15 years of $20,470 ($17,319 today's dollars)</v>
      </c>
      <c r="AV10" s="1321"/>
      <c r="AW10" s="1321"/>
      <c r="AX10" s="1321"/>
      <c r="AY10" s="1321"/>
      <c r="AZ10" s="1321"/>
      <c r="BA10" s="1321"/>
      <c r="BB10" s="1321"/>
      <c r="BC10" s="1321"/>
      <c r="BD10" s="1321"/>
      <c r="BE10" s="1321"/>
      <c r="BF10" s="1321"/>
      <c r="BG10" s="1321"/>
      <c r="BH10" s="1047"/>
      <c r="BK10" s="550"/>
      <c r="BL10" s="550"/>
      <c r="BM10" s="550"/>
      <c r="BN10" s="550"/>
      <c r="BO10" s="550"/>
      <c r="BP10" s="550"/>
      <c r="BQ10" s="550"/>
      <c r="BR10" s="550"/>
      <c r="BS10" s="550"/>
      <c r="BT10" s="550"/>
      <c r="BU10" s="550"/>
    </row>
    <row r="11" spans="14:102" ht="18.75" customHeight="1">
      <c r="O11" s="553"/>
      <c r="P11" s="558" t="s">
        <v>607</v>
      </c>
      <c r="Q11" s="555"/>
      <c r="R11" s="555"/>
      <c r="S11" s="555"/>
      <c r="T11" s="555"/>
      <c r="U11" s="555"/>
      <c r="V11" s="1291" t="s">
        <v>17</v>
      </c>
      <c r="W11" s="1292"/>
      <c r="X11" s="1293"/>
      <c r="Y11" s="557"/>
      <c r="AC11" s="1264"/>
      <c r="AD11" s="1264"/>
      <c r="AE11" s="1264"/>
      <c r="AF11" s="1264"/>
      <c r="AG11" s="1264"/>
      <c r="AH11" s="1264"/>
      <c r="AI11" s="1264"/>
      <c r="AJ11" s="1264"/>
      <c r="AK11" s="1264"/>
      <c r="AL11" s="1264"/>
      <c r="AM11" s="1076"/>
      <c r="AO11" s="545"/>
      <c r="AP11" s="1075"/>
      <c r="AQ11" s="1089"/>
      <c r="AR11" s="1089"/>
      <c r="AS11" s="1335"/>
      <c r="AT11" s="1335"/>
      <c r="AU11" s="1321"/>
      <c r="AV11" s="1321"/>
      <c r="AW11" s="1321"/>
      <c r="AX11" s="1321"/>
      <c r="AY11" s="1321"/>
      <c r="AZ11" s="1321"/>
      <c r="BA11" s="1321"/>
      <c r="BB11" s="1321"/>
      <c r="BC11" s="1321"/>
      <c r="BD11" s="1321"/>
      <c r="BE11" s="1321"/>
      <c r="BF11" s="1321"/>
      <c r="BG11" s="1321"/>
      <c r="BH11" s="1047"/>
      <c r="BK11" s="550"/>
      <c r="BL11" s="550"/>
      <c r="BM11" s="550"/>
      <c r="BN11" s="550"/>
      <c r="BO11" s="550"/>
      <c r="BP11" s="550"/>
      <c r="BQ11" s="550"/>
      <c r="BR11" s="550"/>
      <c r="BS11" s="550"/>
      <c r="BT11" s="550"/>
      <c r="BU11" s="550"/>
    </row>
    <row r="12" spans="14:102" ht="3.75" customHeight="1" thickBot="1">
      <c r="P12" s="567"/>
      <c r="Q12" s="568"/>
      <c r="R12" s="569"/>
      <c r="S12" s="569"/>
      <c r="T12" s="569"/>
      <c r="U12" s="569"/>
      <c r="V12" s="568"/>
      <c r="W12" s="570"/>
      <c r="X12" s="571"/>
      <c r="Y12" s="572"/>
      <c r="AC12" s="1264"/>
      <c r="AD12" s="1264"/>
      <c r="AE12" s="1264"/>
      <c r="AF12" s="1264"/>
      <c r="AG12" s="1264"/>
      <c r="AH12" s="1264"/>
      <c r="AI12" s="1264"/>
      <c r="AJ12" s="1264"/>
      <c r="AK12" s="1264"/>
      <c r="AL12" s="1264"/>
      <c r="AM12" s="1076"/>
      <c r="AO12" s="545"/>
      <c r="AP12" s="1075"/>
      <c r="AQ12" s="1089"/>
      <c r="AR12" s="1089"/>
      <c r="AS12" s="1335"/>
      <c r="AT12" s="1335"/>
      <c r="AU12" s="556"/>
      <c r="AV12" s="556"/>
      <c r="AW12" s="556"/>
      <c r="AX12" s="556"/>
      <c r="AY12" s="556"/>
      <c r="AZ12" s="556"/>
      <c r="BA12" s="556"/>
      <c r="BB12" s="556"/>
      <c r="BC12" s="556"/>
      <c r="BD12" s="556"/>
      <c r="BE12" s="556"/>
      <c r="BF12" s="556"/>
      <c r="BG12" s="556"/>
      <c r="BH12" s="1047"/>
      <c r="BK12" s="550"/>
      <c r="BL12" s="550"/>
      <c r="BM12" s="550"/>
      <c r="BN12" s="550"/>
      <c r="BO12" s="550"/>
      <c r="BP12" s="550"/>
      <c r="BQ12" s="550"/>
      <c r="BR12" s="550"/>
      <c r="BS12" s="550"/>
      <c r="BT12" s="550"/>
      <c r="BU12" s="550"/>
    </row>
    <row r="13" spans="14:102" ht="3.75" customHeight="1" thickTop="1">
      <c r="P13" s="562"/>
      <c r="Q13" s="563"/>
      <c r="R13" s="563"/>
      <c r="S13" s="563"/>
      <c r="T13" s="564"/>
      <c r="U13" s="564"/>
      <c r="V13" s="565"/>
      <c r="W13" s="556"/>
      <c r="X13" s="556"/>
      <c r="Y13" s="566"/>
      <c r="AC13" s="1264"/>
      <c r="AD13" s="1264"/>
      <c r="AE13" s="1264"/>
      <c r="AF13" s="1264"/>
      <c r="AG13" s="1264"/>
      <c r="AH13" s="1264"/>
      <c r="AI13" s="1264"/>
      <c r="AJ13" s="1264"/>
      <c r="AK13" s="1264"/>
      <c r="AL13" s="1264"/>
      <c r="AM13" s="1076"/>
      <c r="AO13" s="545"/>
      <c r="AP13" s="1075"/>
      <c r="AQ13" s="1089"/>
      <c r="AR13" s="1089"/>
      <c r="AS13" s="1335"/>
      <c r="AT13" s="1335"/>
      <c r="AU13" s="556"/>
      <c r="AV13" s="556"/>
      <c r="AW13" s="556"/>
      <c r="AX13" s="556"/>
      <c r="AY13" s="556"/>
      <c r="AZ13" s="556"/>
      <c r="BA13" s="556"/>
      <c r="BB13" s="556"/>
      <c r="BC13" s="556"/>
      <c r="BD13" s="556"/>
      <c r="BE13" s="556"/>
      <c r="BF13" s="556"/>
      <c r="BG13" s="556"/>
      <c r="BH13" s="1047"/>
      <c r="BK13" s="550"/>
      <c r="BL13" s="550"/>
      <c r="BM13" s="550"/>
      <c r="BN13" s="550"/>
      <c r="BO13" s="550"/>
      <c r="BP13" s="550"/>
      <c r="BQ13" s="550"/>
      <c r="BR13" s="550"/>
      <c r="BS13" s="550"/>
      <c r="BT13" s="550"/>
      <c r="BU13" s="550"/>
    </row>
    <row r="14" spans="14:102" ht="18.75" customHeight="1">
      <c r="O14" s="547"/>
      <c r="P14" s="558" t="s">
        <v>509</v>
      </c>
      <c r="Q14" s="574"/>
      <c r="R14" s="575"/>
      <c r="S14" s="575"/>
      <c r="T14" s="576"/>
      <c r="U14" s="576"/>
      <c r="V14" s="576"/>
      <c r="W14" s="577" t="s">
        <v>419</v>
      </c>
      <c r="X14" s="608" t="s">
        <v>5</v>
      </c>
      <c r="Y14" s="578"/>
      <c r="AC14" s="1264"/>
      <c r="AD14" s="1264"/>
      <c r="AE14" s="1264"/>
      <c r="AF14" s="1264"/>
      <c r="AG14" s="1264"/>
      <c r="AH14" s="1264"/>
      <c r="AI14" s="1264"/>
      <c r="AJ14" s="1264"/>
      <c r="AK14" s="1264"/>
      <c r="AL14" s="1264"/>
      <c r="AO14" s="545"/>
      <c r="AP14" s="1047"/>
      <c r="AQ14" s="1047"/>
      <c r="AR14" s="1047"/>
      <c r="AS14" s="1335"/>
      <c r="AT14" s="1335"/>
      <c r="AU14" s="1047"/>
      <c r="AV14" s="1047"/>
      <c r="AW14" s="1047"/>
      <c r="AX14" s="1047"/>
      <c r="AY14" s="1047"/>
      <c r="AZ14" s="1047"/>
      <c r="BA14" s="1047"/>
      <c r="BB14" s="1047"/>
      <c r="BC14" s="1047"/>
      <c r="BD14" s="1047"/>
      <c r="BE14" s="1047"/>
      <c r="BF14" s="1047"/>
      <c r="BG14" s="1047"/>
      <c r="BH14" s="1047"/>
      <c r="BK14" s="550"/>
      <c r="BL14" s="550"/>
      <c r="BM14" s="550"/>
      <c r="BN14" s="550"/>
      <c r="BO14" s="550"/>
      <c r="BP14" s="550"/>
      <c r="BQ14" s="550"/>
      <c r="BR14" s="550"/>
      <c r="BS14" s="550"/>
      <c r="BT14" s="550"/>
      <c r="BU14" s="550"/>
    </row>
    <row r="15" spans="14:102" ht="3.75" customHeight="1">
      <c r="O15" s="547"/>
      <c r="P15" s="579"/>
      <c r="Q15" s="574"/>
      <c r="R15" s="575"/>
      <c r="S15" s="575"/>
      <c r="T15" s="576"/>
      <c r="U15" s="576"/>
      <c r="V15" s="576"/>
      <c r="W15" s="576"/>
      <c r="X15" s="576"/>
      <c r="Y15" s="578"/>
      <c r="AB15" s="1047"/>
      <c r="AC15" s="1058"/>
      <c r="AD15" s="1058"/>
      <c r="AE15" s="1058"/>
      <c r="AF15" s="1058"/>
      <c r="AG15" s="1047"/>
      <c r="AH15" s="1047"/>
      <c r="AI15" s="1059"/>
      <c r="AJ15" s="1060"/>
      <c r="AK15" s="1060"/>
      <c r="AL15" s="1060"/>
      <c r="AM15" s="1060"/>
      <c r="AN15" s="1047"/>
      <c r="AO15" s="545"/>
      <c r="AP15" s="1047"/>
      <c r="AQ15" s="1047"/>
      <c r="AR15" s="1047"/>
      <c r="AS15" s="1335"/>
      <c r="AT15" s="1335"/>
      <c r="AU15" s="1047"/>
      <c r="AV15" s="1047"/>
      <c r="AW15" s="1047"/>
      <c r="AX15" s="1047"/>
      <c r="AY15" s="1047"/>
      <c r="AZ15" s="1047"/>
      <c r="BA15" s="1047"/>
      <c r="BB15" s="1047"/>
      <c r="BC15" s="1047"/>
      <c r="BD15" s="1047"/>
      <c r="BE15" s="1047"/>
      <c r="BF15" s="1047"/>
      <c r="BG15" s="1047"/>
      <c r="BH15" s="1047"/>
      <c r="BK15" s="550"/>
      <c r="BL15" s="550"/>
      <c r="BM15" s="550"/>
      <c r="BN15" s="550"/>
      <c r="BO15" s="550"/>
      <c r="BP15" s="550"/>
      <c r="BQ15" s="550"/>
      <c r="BR15" s="550"/>
      <c r="BS15" s="550"/>
      <c r="BT15" s="550"/>
      <c r="BU15" s="550"/>
    </row>
    <row r="16" spans="14:102" ht="18.75" customHeight="1">
      <c r="O16" s="547"/>
      <c r="P16" s="579"/>
      <c r="Q16" s="575"/>
      <c r="R16" s="575"/>
      <c r="S16" s="577" t="s">
        <v>420</v>
      </c>
      <c r="T16" s="1294">
        <v>18264</v>
      </c>
      <c r="U16" s="1295"/>
      <c r="V16" s="1296"/>
      <c r="W16" s="580"/>
      <c r="X16" s="581" t="str">
        <f ca="1">"Age "&amp;'Age Pension additional calcs'!F34&amp;""</f>
        <v>Age 66</v>
      </c>
      <c r="Y16" s="578"/>
      <c r="AB16" s="1047"/>
      <c r="AC16" s="1058"/>
      <c r="AD16" s="1058"/>
      <c r="AE16" s="1058"/>
      <c r="AF16" s="1058"/>
      <c r="AG16" s="1047"/>
      <c r="AH16" s="1061"/>
      <c r="AI16" s="1062" t="s">
        <v>1201</v>
      </c>
      <c r="AJ16" s="1305" t="str">
        <f ca="1">'Age Pension additional calcs'!R8</f>
        <v>Yes</v>
      </c>
      <c r="AK16" s="1305"/>
      <c r="AL16" s="1305"/>
      <c r="AM16" s="1060"/>
      <c r="AN16" s="1047"/>
      <c r="AO16" s="545"/>
      <c r="AP16" s="1047"/>
      <c r="AQ16" s="1047"/>
      <c r="AR16" s="1047"/>
      <c r="AS16" s="1047"/>
      <c r="AT16" s="1047"/>
      <c r="AU16" s="1047"/>
      <c r="AV16" s="1047"/>
      <c r="AW16" s="1047"/>
      <c r="AX16" s="1047"/>
      <c r="AY16" s="1047"/>
      <c r="AZ16" s="1047"/>
      <c r="BA16" s="1047"/>
      <c r="BB16" s="1047"/>
      <c r="BC16" s="1047"/>
      <c r="BD16" s="1047"/>
      <c r="BE16" s="1047"/>
      <c r="BF16" s="1047"/>
      <c r="BG16" s="1047"/>
      <c r="BH16" s="1047"/>
      <c r="BK16" s="550"/>
      <c r="BL16" s="550"/>
      <c r="BM16" s="550"/>
      <c r="BN16" s="550"/>
      <c r="BO16" s="550"/>
      <c r="BP16" s="550"/>
      <c r="BQ16" s="550"/>
      <c r="BR16" s="550"/>
      <c r="BS16" s="550"/>
      <c r="BT16" s="550"/>
      <c r="BU16" s="550"/>
    </row>
    <row r="17" spans="4:75" ht="3.75" customHeight="1" thickBot="1">
      <c r="D17" s="547">
        <v>3</v>
      </c>
      <c r="E17" s="543" t="s">
        <v>511</v>
      </c>
      <c r="P17" s="567"/>
      <c r="Q17" s="568"/>
      <c r="R17" s="569"/>
      <c r="S17" s="569"/>
      <c r="T17" s="569"/>
      <c r="U17" s="569"/>
      <c r="V17" s="568"/>
      <c r="W17" s="570"/>
      <c r="X17" s="571"/>
      <c r="Y17" s="572"/>
      <c r="AB17" s="1306" t="s">
        <v>1202</v>
      </c>
      <c r="AC17" s="1306"/>
      <c r="AD17" s="1306"/>
      <c r="AE17" s="1306"/>
      <c r="AF17" s="1306"/>
      <c r="AG17" s="1306"/>
      <c r="AH17" s="1306"/>
      <c r="AI17" s="1306"/>
      <c r="AJ17" s="1307" t="str">
        <f ca="1">'Age Pension additional calcs'!R9</f>
        <v>Yes</v>
      </c>
      <c r="AK17" s="1307"/>
      <c r="AL17" s="1307"/>
      <c r="AM17" s="1047"/>
      <c r="AN17" s="1047"/>
      <c r="AP17" s="1047"/>
      <c r="AQ17" s="1047"/>
      <c r="AR17" s="1047"/>
      <c r="AS17" s="1048"/>
      <c r="AT17" s="1048"/>
      <c r="AU17" s="1048"/>
      <c r="AV17" s="1048"/>
      <c r="AW17" s="1047"/>
      <c r="AX17" s="1047"/>
      <c r="AY17" s="1047"/>
      <c r="AZ17" s="1047"/>
      <c r="BA17" s="1047"/>
      <c r="BB17" s="1047"/>
      <c r="BC17" s="1047"/>
      <c r="BD17" s="1047"/>
      <c r="BE17" s="1047"/>
      <c r="BF17" s="1047"/>
      <c r="BG17" s="1047"/>
      <c r="BH17" s="1047"/>
      <c r="BK17" s="550"/>
      <c r="BL17" s="550"/>
      <c r="BM17" s="550"/>
      <c r="BN17" s="550"/>
      <c r="BO17" s="550"/>
      <c r="BP17" s="550"/>
      <c r="BQ17" s="550"/>
      <c r="BR17" s="550"/>
      <c r="BS17" s="550"/>
      <c r="BT17" s="550"/>
      <c r="BU17" s="550"/>
    </row>
    <row r="18" spans="4:75" ht="3.75" customHeight="1" thickTop="1">
      <c r="O18" s="547"/>
      <c r="P18" s="582"/>
      <c r="Q18" s="583"/>
      <c r="R18" s="584"/>
      <c r="S18" s="584"/>
      <c r="T18" s="584"/>
      <c r="U18" s="584"/>
      <c r="V18" s="583"/>
      <c r="W18" s="585"/>
      <c r="X18" s="556"/>
      <c r="Y18" s="586"/>
      <c r="AB18" s="1306"/>
      <c r="AC18" s="1306"/>
      <c r="AD18" s="1306"/>
      <c r="AE18" s="1306"/>
      <c r="AF18" s="1306"/>
      <c r="AG18" s="1306"/>
      <c r="AH18" s="1306"/>
      <c r="AI18" s="1306"/>
      <c r="AJ18" s="1307"/>
      <c r="AK18" s="1307"/>
      <c r="AL18" s="1307"/>
      <c r="AM18" s="1047"/>
      <c r="AN18" s="1047"/>
      <c r="AP18" s="1047"/>
      <c r="AQ18" s="1047"/>
      <c r="AR18" s="1047"/>
      <c r="AS18" s="1048"/>
      <c r="AT18" s="1048"/>
      <c r="AU18" s="1048"/>
      <c r="AV18" s="1048"/>
      <c r="AW18" s="1047"/>
      <c r="AX18" s="1047"/>
      <c r="AY18" s="1047"/>
      <c r="AZ18" s="1047"/>
      <c r="BA18" s="1047"/>
      <c r="BB18" s="1047"/>
      <c r="BC18" s="1047"/>
      <c r="BD18" s="1047"/>
      <c r="BE18" s="1047"/>
      <c r="BF18" s="1047"/>
      <c r="BG18" s="1047"/>
      <c r="BH18" s="1047"/>
      <c r="BK18" s="550"/>
      <c r="BL18" s="550"/>
      <c r="BM18" s="550"/>
      <c r="BN18" s="550"/>
      <c r="BO18" s="550"/>
      <c r="BP18" s="550"/>
      <c r="BQ18" s="550"/>
      <c r="BR18" s="550"/>
      <c r="BS18" s="550"/>
      <c r="BT18" s="550"/>
      <c r="BU18" s="550"/>
    </row>
    <row r="19" spans="4:75" ht="18.75" customHeight="1">
      <c r="P19" s="579" t="s">
        <v>23</v>
      </c>
      <c r="Q19" s="573"/>
      <c r="R19" s="573"/>
      <c r="S19" s="573"/>
      <c r="T19" s="573"/>
      <c r="U19" s="587" t="s">
        <v>579</v>
      </c>
      <c r="V19" s="573"/>
      <c r="W19" s="577" t="s">
        <v>419</v>
      </c>
      <c r="X19" s="608" t="s">
        <v>4</v>
      </c>
      <c r="Y19" s="578"/>
      <c r="AB19" s="1306"/>
      <c r="AC19" s="1306"/>
      <c r="AD19" s="1306"/>
      <c r="AE19" s="1306"/>
      <c r="AF19" s="1306"/>
      <c r="AG19" s="1306"/>
      <c r="AH19" s="1306"/>
      <c r="AI19" s="1306"/>
      <c r="AJ19" s="1307"/>
      <c r="AK19" s="1307"/>
      <c r="AL19" s="1307"/>
      <c r="AM19" s="1047"/>
      <c r="AN19" s="1047"/>
      <c r="AP19" s="1047"/>
      <c r="AQ19" s="1047"/>
      <c r="AR19" s="1047"/>
      <c r="AS19" s="1047"/>
      <c r="AT19" s="1047"/>
      <c r="AU19" s="1047"/>
      <c r="AV19" s="1047"/>
      <c r="AW19" s="1047"/>
      <c r="AX19" s="1047"/>
      <c r="AY19" s="1047"/>
      <c r="AZ19" s="1047"/>
      <c r="BA19" s="1047"/>
      <c r="BB19" s="1047"/>
      <c r="BC19" s="1047"/>
      <c r="BD19" s="1047"/>
      <c r="BE19" s="1047"/>
      <c r="BF19" s="1047"/>
      <c r="BG19" s="1047"/>
      <c r="BH19" s="1047"/>
      <c r="BK19" s="550"/>
      <c r="BL19" s="550"/>
      <c r="BM19" s="550"/>
      <c r="BN19" s="550"/>
      <c r="BO19" s="550"/>
      <c r="BP19" s="550"/>
      <c r="BQ19" s="550"/>
      <c r="BR19" s="550"/>
      <c r="BS19" s="550"/>
      <c r="BT19" s="550"/>
      <c r="BU19" s="550"/>
    </row>
    <row r="20" spans="4:75" ht="3.75" customHeight="1">
      <c r="P20" s="579"/>
      <c r="Q20" s="573"/>
      <c r="R20" s="573"/>
      <c r="S20" s="573"/>
      <c r="T20" s="573"/>
      <c r="U20" s="573"/>
      <c r="V20" s="573"/>
      <c r="W20" s="573"/>
      <c r="X20" s="573"/>
      <c r="Y20" s="578"/>
      <c r="AB20" s="1047"/>
      <c r="AC20" s="1047"/>
      <c r="AD20" s="1047"/>
      <c r="AE20" s="1047"/>
      <c r="AF20" s="1047"/>
      <c r="AG20" s="1047"/>
      <c r="AH20" s="1047"/>
      <c r="AI20" s="1047"/>
      <c r="AJ20" s="1047"/>
      <c r="AK20" s="1047"/>
      <c r="AL20" s="1047"/>
      <c r="AM20" s="1047"/>
      <c r="AN20" s="1047"/>
      <c r="AP20" s="1047"/>
      <c r="AQ20" s="1047"/>
      <c r="AR20" s="1047"/>
      <c r="AS20" s="1047"/>
      <c r="AT20" s="1047"/>
      <c r="AU20" s="1047"/>
      <c r="AV20" s="1047"/>
      <c r="AW20" s="1047"/>
      <c r="AX20" s="1047"/>
      <c r="AY20" s="1047"/>
      <c r="AZ20" s="1047"/>
      <c r="BA20" s="1047"/>
      <c r="BB20" s="1047"/>
      <c r="BC20" s="1047"/>
      <c r="BD20" s="1047"/>
      <c r="BE20" s="1047"/>
      <c r="BF20" s="1047"/>
      <c r="BG20" s="1047"/>
      <c r="BH20" s="1047"/>
      <c r="BK20" s="550"/>
      <c r="BL20" s="550"/>
      <c r="BM20" s="550"/>
      <c r="BN20" s="550"/>
      <c r="BO20" s="550"/>
      <c r="BP20" s="550"/>
      <c r="BQ20" s="550"/>
      <c r="BR20" s="550"/>
      <c r="BS20" s="550"/>
      <c r="BT20" s="550"/>
      <c r="BU20" s="550"/>
    </row>
    <row r="21" spans="4:75" ht="18.75" customHeight="1">
      <c r="O21" s="547"/>
      <c r="P21" s="579"/>
      <c r="Q21" s="573"/>
      <c r="R21" s="573"/>
      <c r="S21" s="577" t="s">
        <v>420</v>
      </c>
      <c r="T21" s="1294">
        <v>18265</v>
      </c>
      <c r="U21" s="1295"/>
      <c r="V21" s="1296"/>
      <c r="W21" s="573"/>
      <c r="X21" s="581" t="str">
        <f ca="1">"Age "&amp;'Age Pension additional calcs'!F35&amp;""</f>
        <v>Age 66</v>
      </c>
      <c r="Y21" s="578"/>
      <c r="AB21" s="1063"/>
      <c r="AC21" s="1065" t="str">
        <f>"First year total Age Pension equals "&amp;TEXT('Deterministic Output VicSup'!A3,"$#,###")&amp;""</f>
        <v>First year total Age Pension equals $2,308</v>
      </c>
      <c r="AD21" s="1063"/>
      <c r="AE21" s="1063"/>
      <c r="AF21" s="1063"/>
      <c r="AG21" s="1063"/>
      <c r="AH21" s="1063"/>
      <c r="AJ21" s="1077"/>
      <c r="AK21" s="1077"/>
      <c r="AL21" s="1077"/>
      <c r="AM21" s="1077"/>
      <c r="AN21" s="1047"/>
      <c r="AP21" s="1047"/>
      <c r="AQ21" s="1047"/>
      <c r="AR21" s="1047"/>
      <c r="AS21" s="1047"/>
      <c r="AT21" s="1047"/>
      <c r="AU21" s="1047"/>
      <c r="AV21" s="1047"/>
      <c r="AW21" s="1047"/>
      <c r="AX21" s="1047"/>
      <c r="AY21" s="1047"/>
      <c r="AZ21" s="1047"/>
      <c r="BA21" s="1047"/>
      <c r="BB21" s="1047"/>
      <c r="BC21" s="1047"/>
      <c r="BD21" s="1047"/>
      <c r="BE21" s="1047"/>
      <c r="BF21" s="1047"/>
      <c r="BG21" s="1047"/>
      <c r="BH21" s="1047"/>
      <c r="BK21" s="550"/>
      <c r="BL21" s="550"/>
      <c r="BM21" s="550"/>
      <c r="BN21" s="550"/>
      <c r="BO21" s="550"/>
      <c r="BP21" s="550"/>
      <c r="BQ21" s="550"/>
      <c r="BR21" s="550"/>
      <c r="BS21" s="550"/>
      <c r="BT21" s="550"/>
      <c r="BU21" s="550"/>
    </row>
    <row r="22" spans="4:75" ht="3.75" customHeight="1">
      <c r="P22" s="588"/>
      <c r="Q22" s="589"/>
      <c r="R22" s="590"/>
      <c r="S22" s="590"/>
      <c r="T22" s="590"/>
      <c r="U22" s="590"/>
      <c r="V22" s="589"/>
      <c r="W22" s="590"/>
      <c r="X22" s="590"/>
      <c r="Y22" s="591"/>
      <c r="AB22" s="1063"/>
      <c r="AC22" s="1063"/>
      <c r="AD22" s="1063"/>
      <c r="AE22" s="1063"/>
      <c r="AF22" s="1063"/>
      <c r="AG22" s="1063"/>
      <c r="AH22" s="1063"/>
      <c r="AI22" s="1063"/>
      <c r="AJ22" s="1049"/>
      <c r="AK22" s="1049"/>
      <c r="AL22" s="1049"/>
      <c r="AM22" s="1049"/>
      <c r="AN22" s="1047"/>
      <c r="AP22" s="1047"/>
      <c r="AQ22" s="1047"/>
      <c r="AR22" s="1047"/>
      <c r="AS22" s="1047"/>
      <c r="AT22" s="1047"/>
      <c r="AU22" s="1047"/>
      <c r="AV22" s="1047"/>
      <c r="AW22" s="1047"/>
      <c r="AX22" s="1047"/>
      <c r="AY22" s="1047"/>
      <c r="AZ22" s="1047"/>
      <c r="BA22" s="1047"/>
      <c r="BB22" s="1047"/>
      <c r="BC22" s="1047"/>
      <c r="BD22" s="1047"/>
      <c r="BE22" s="1047"/>
      <c r="BF22" s="1047"/>
      <c r="BG22" s="1047"/>
      <c r="BH22" s="1047"/>
      <c r="BK22" s="550"/>
      <c r="BL22" s="550"/>
      <c r="BM22" s="550"/>
      <c r="BN22" s="550"/>
      <c r="BO22" s="550"/>
      <c r="BP22" s="550"/>
      <c r="BQ22" s="550"/>
      <c r="BR22" s="550"/>
      <c r="BS22" s="550"/>
      <c r="BT22" s="550"/>
      <c r="BU22" s="550"/>
    </row>
    <row r="23" spans="4:75" ht="7.5" customHeight="1">
      <c r="O23" s="547"/>
      <c r="AB23" s="1071"/>
      <c r="AC23" s="1047"/>
      <c r="AD23" s="1047"/>
      <c r="AE23" s="1047"/>
      <c r="AF23" s="1047"/>
      <c r="AG23" s="1047"/>
      <c r="AH23" s="1047"/>
      <c r="AI23" s="1047"/>
      <c r="AJ23" s="1047"/>
      <c r="AK23" s="1047"/>
      <c r="AL23" s="1047"/>
      <c r="AM23" s="1047"/>
      <c r="AN23" s="1072"/>
      <c r="AP23" s="1047"/>
      <c r="AQ23" s="1047"/>
      <c r="AR23" s="1047"/>
      <c r="AS23" s="1047"/>
      <c r="AT23" s="1047"/>
      <c r="AU23" s="1047"/>
      <c r="AV23" s="1047"/>
      <c r="AW23" s="1047"/>
      <c r="AX23" s="1047"/>
      <c r="AY23" s="1047"/>
      <c r="AZ23" s="1047"/>
      <c r="BA23" s="1047"/>
      <c r="BB23" s="1047"/>
      <c r="BC23" s="1047"/>
      <c r="BD23" s="1047"/>
      <c r="BE23" s="1047"/>
      <c r="BF23" s="1047"/>
      <c r="BG23" s="1047"/>
      <c r="BH23" s="1047"/>
      <c r="BK23" s="550"/>
      <c r="BL23" s="550"/>
      <c r="BM23" s="550"/>
      <c r="BN23" s="550"/>
      <c r="BO23" s="550"/>
      <c r="BP23" s="550"/>
      <c r="BQ23" s="550"/>
      <c r="BR23" s="550"/>
      <c r="BS23" s="550"/>
      <c r="BT23" s="550"/>
      <c r="BU23" s="550"/>
    </row>
    <row r="24" spans="4:75" ht="21" customHeight="1">
      <c r="O24" s="547"/>
      <c r="P24" s="1325" t="s">
        <v>1207</v>
      </c>
      <c r="Q24" s="1326"/>
      <c r="R24" s="1326"/>
      <c r="S24" s="1326"/>
      <c r="T24" s="1326"/>
      <c r="U24" s="1326"/>
      <c r="V24" s="1326"/>
      <c r="W24" s="1326"/>
      <c r="X24" s="1326"/>
      <c r="Y24" s="1327"/>
      <c r="AB24" s="1071"/>
      <c r="AC24" s="1047"/>
      <c r="AD24" s="1047"/>
      <c r="AE24" s="1047"/>
      <c r="AF24" s="1047"/>
      <c r="AG24" s="1047"/>
      <c r="AH24" s="1047"/>
      <c r="AI24" s="1047"/>
      <c r="AJ24" s="1047"/>
      <c r="AK24" s="1047"/>
      <c r="AL24" s="1047"/>
      <c r="AM24" s="1047"/>
      <c r="AN24" s="1072"/>
      <c r="AP24" s="1047"/>
      <c r="AQ24" s="1047"/>
      <c r="AR24" s="1047"/>
      <c r="AS24" s="1047"/>
      <c r="AT24" s="1047"/>
      <c r="AU24" s="1047"/>
      <c r="AV24" s="1047"/>
      <c r="AW24" s="1047"/>
      <c r="AX24" s="1047"/>
      <c r="AY24" s="1047"/>
      <c r="AZ24" s="1047"/>
      <c r="BA24" s="1047"/>
      <c r="BB24" s="1047"/>
      <c r="BC24" s="1047"/>
      <c r="BD24" s="1047"/>
      <c r="BE24" s="1047"/>
      <c r="BF24" s="1047"/>
      <c r="BG24" s="1047"/>
      <c r="BH24" s="1047"/>
      <c r="BK24" s="550"/>
      <c r="BL24" s="550"/>
      <c r="BM24" s="550"/>
      <c r="BN24" s="550"/>
      <c r="BO24" s="550"/>
      <c r="BP24" s="550"/>
      <c r="BQ24" s="550"/>
      <c r="BR24" s="550"/>
      <c r="BS24" s="550"/>
      <c r="BT24" s="550"/>
      <c r="BU24" s="550"/>
    </row>
    <row r="25" spans="4:75" ht="3.75" customHeight="1">
      <c r="O25" s="547"/>
      <c r="P25" s="554"/>
      <c r="Q25" s="555"/>
      <c r="R25" s="555"/>
      <c r="S25" s="555"/>
      <c r="T25" s="555"/>
      <c r="U25" s="555"/>
      <c r="V25" s="556"/>
      <c r="W25" s="556"/>
      <c r="X25" s="556"/>
      <c r="Y25" s="557"/>
      <c r="AB25" s="1071"/>
      <c r="AC25" s="1047"/>
      <c r="AD25" s="1047"/>
      <c r="AE25" s="1047"/>
      <c r="AF25" s="1047"/>
      <c r="AG25" s="1047"/>
      <c r="AH25" s="1047"/>
      <c r="AI25" s="1047"/>
      <c r="AJ25" s="1047"/>
      <c r="AK25" s="1047"/>
      <c r="AL25" s="1047"/>
      <c r="AM25" s="1047"/>
      <c r="AN25" s="1072"/>
      <c r="AP25" s="1047"/>
      <c r="AQ25" s="1047"/>
      <c r="AR25" s="1047"/>
      <c r="AS25" s="1047"/>
      <c r="AT25" s="1047"/>
      <c r="AU25" s="1047"/>
      <c r="AV25" s="1047"/>
      <c r="AW25" s="1047"/>
      <c r="AX25" s="1047"/>
      <c r="AY25" s="1047"/>
      <c r="AZ25" s="1047"/>
      <c r="BA25" s="1047"/>
      <c r="BB25" s="1047"/>
      <c r="BC25" s="1047"/>
      <c r="BD25" s="1047"/>
      <c r="BE25" s="1047"/>
      <c r="BF25" s="1047"/>
      <c r="BG25" s="1047"/>
      <c r="BH25" s="1047"/>
      <c r="BK25" s="550"/>
      <c r="BL25" s="550"/>
      <c r="BM25" s="550"/>
      <c r="BN25" s="550"/>
      <c r="BO25" s="550"/>
      <c r="BP25" s="550"/>
      <c r="BQ25" s="550"/>
      <c r="BR25" s="550"/>
      <c r="BS25" s="550"/>
      <c r="BT25" s="550"/>
      <c r="BU25" s="550"/>
    </row>
    <row r="26" spans="4:75" ht="21" customHeight="1">
      <c r="P26" s="1328" t="s">
        <v>1206</v>
      </c>
      <c r="Q26" s="1329"/>
      <c r="R26" s="1329"/>
      <c r="S26" s="1329"/>
      <c r="T26" s="1329"/>
      <c r="U26" s="1330"/>
      <c r="V26" s="1297">
        <v>70000</v>
      </c>
      <c r="W26" s="1298"/>
      <c r="X26" s="1299"/>
      <c r="Y26" s="557"/>
      <c r="AB26" s="1072"/>
      <c r="AC26" s="1271" t="s">
        <v>524</v>
      </c>
      <c r="AD26" s="1271"/>
      <c r="AE26" s="1271"/>
      <c r="AF26" s="1271"/>
      <c r="AG26" s="1271"/>
      <c r="AH26" s="1275">
        <f>'Deterministic Output VicSup'!AA3</f>
        <v>865000</v>
      </c>
      <c r="AI26" s="1275"/>
      <c r="AJ26" s="1275"/>
      <c r="AK26" s="1275"/>
      <c r="AL26" s="1275"/>
      <c r="AN26" s="1072"/>
      <c r="AP26" s="1047"/>
      <c r="AQ26" s="1047"/>
      <c r="AR26" s="1047"/>
      <c r="AS26" s="1047"/>
      <c r="AT26" s="1047"/>
      <c r="AU26" s="1047"/>
      <c r="AV26" s="1047"/>
      <c r="AW26" s="1047"/>
      <c r="AX26" s="1047"/>
      <c r="AY26" s="1047"/>
      <c r="AZ26" s="1047"/>
      <c r="BA26" s="1047"/>
      <c r="BB26" s="1047"/>
      <c r="BC26" s="1047"/>
      <c r="BD26" s="1047"/>
      <c r="BE26" s="1047"/>
      <c r="BF26" s="1047"/>
      <c r="BG26" s="1047"/>
      <c r="BH26" s="1047"/>
    </row>
    <row r="27" spans="4:75" ht="3.75" customHeight="1">
      <c r="P27" s="554"/>
      <c r="Q27" s="573"/>
      <c r="R27" s="573"/>
      <c r="S27" s="573"/>
      <c r="T27" s="573"/>
      <c r="U27" s="573"/>
      <c r="V27" s="573"/>
      <c r="W27" s="573"/>
      <c r="X27" s="573"/>
      <c r="Y27" s="578"/>
      <c r="Z27" s="547"/>
      <c r="AB27" s="1073"/>
      <c r="AC27" s="1274"/>
      <c r="AD27" s="1274"/>
      <c r="AE27" s="1274"/>
      <c r="AF27" s="1274"/>
      <c r="AG27" s="1274"/>
      <c r="AH27" s="1266"/>
      <c r="AI27" s="1266"/>
      <c r="AJ27" s="1266"/>
      <c r="AK27" s="1266"/>
      <c r="AL27" s="1266"/>
      <c r="AN27" s="1049"/>
      <c r="AO27" s="550"/>
      <c r="AP27" s="1047"/>
      <c r="AQ27" s="1047"/>
      <c r="AR27" s="1047"/>
      <c r="AS27" s="1047"/>
      <c r="AT27" s="1047"/>
      <c r="AU27" s="1047"/>
      <c r="AV27" s="1047"/>
      <c r="AW27" s="1047"/>
      <c r="AX27" s="1047"/>
      <c r="AY27" s="1047"/>
      <c r="AZ27" s="1047"/>
      <c r="BA27" s="1047"/>
      <c r="BB27" s="1047"/>
      <c r="BC27" s="1047"/>
      <c r="BD27" s="1047"/>
      <c r="BE27" s="1047"/>
      <c r="BF27" s="1047"/>
      <c r="BG27" s="1047"/>
      <c r="BH27" s="1047"/>
    </row>
    <row r="28" spans="4:75" ht="18.75" customHeight="1">
      <c r="P28" s="554"/>
      <c r="Q28" s="573"/>
      <c r="R28" s="573"/>
      <c r="S28" s="573"/>
      <c r="T28" s="573"/>
      <c r="U28" s="573"/>
      <c r="V28" s="573"/>
      <c r="W28" s="573"/>
      <c r="X28" s="573"/>
      <c r="Y28" s="578"/>
      <c r="AB28" s="1073"/>
      <c r="AC28" s="1272" t="s">
        <v>525</v>
      </c>
      <c r="AD28" s="1272"/>
      <c r="AE28" s="1272"/>
      <c r="AF28" s="1272"/>
      <c r="AG28" s="1272"/>
      <c r="AH28" s="1265">
        <f>IF(AND('Admin Settings'!E25=0,'Admin Settings'!E26=0,V49=0),0,'Deterministic Output VicSup'!AB3)</f>
        <v>26401</v>
      </c>
      <c r="AI28" s="1265"/>
      <c r="AJ28" s="1265"/>
      <c r="AK28" s="1265"/>
      <c r="AL28" s="1265"/>
      <c r="AN28" s="1049"/>
      <c r="AO28" s="550"/>
      <c r="AP28" s="1047"/>
      <c r="AQ28" s="1047"/>
      <c r="AR28" s="1047"/>
      <c r="AS28" s="1047"/>
      <c r="AT28" s="1047"/>
      <c r="AU28" s="1047"/>
      <c r="AV28" s="1047"/>
      <c r="AW28" s="1047"/>
      <c r="AX28" s="1047"/>
      <c r="AY28" s="1047"/>
      <c r="AZ28" s="1047"/>
      <c r="BA28" s="1047"/>
      <c r="BB28" s="1047"/>
      <c r="BC28" s="1047"/>
      <c r="BD28" s="1047"/>
      <c r="BE28" s="1047"/>
      <c r="BF28" s="1047"/>
      <c r="BG28" s="1047"/>
      <c r="BH28" s="1047"/>
    </row>
    <row r="29" spans="4:75" ht="12" customHeight="1">
      <c r="P29" s="592"/>
      <c r="Q29" s="593"/>
      <c r="R29" s="593"/>
      <c r="S29" s="593"/>
      <c r="T29" s="593"/>
      <c r="U29" s="593"/>
      <c r="V29" s="594"/>
      <c r="W29" s="594"/>
      <c r="X29" s="594"/>
      <c r="Y29" s="595"/>
      <c r="Z29" s="547"/>
      <c r="AB29" s="1073"/>
      <c r="AC29" s="1273"/>
      <c r="AD29" s="1273"/>
      <c r="AE29" s="1273"/>
      <c r="AF29" s="1273"/>
      <c r="AG29" s="1273"/>
      <c r="AH29" s="1266"/>
      <c r="AI29" s="1266"/>
      <c r="AJ29" s="1266"/>
      <c r="AK29" s="1266"/>
      <c r="AL29" s="1266"/>
      <c r="AN29" s="1049"/>
      <c r="AO29" s="550"/>
      <c r="AP29" s="1049"/>
      <c r="AQ29" s="1049"/>
      <c r="AR29" s="1049"/>
      <c r="AS29" s="1049"/>
      <c r="AT29" s="1049"/>
      <c r="AU29" s="1049"/>
      <c r="AV29" s="1049"/>
      <c r="AW29" s="1049"/>
      <c r="AX29" s="1047"/>
      <c r="AY29" s="1047"/>
      <c r="AZ29" s="1047"/>
      <c r="BA29" s="1047"/>
      <c r="BB29" s="1047"/>
      <c r="BC29" s="1047"/>
      <c r="BD29" s="1047"/>
      <c r="BE29" s="1047"/>
      <c r="BF29" s="1047"/>
      <c r="BG29" s="1047"/>
      <c r="BH29" s="1047"/>
    </row>
    <row r="30" spans="4:75" ht="7.5" customHeight="1">
      <c r="AB30" s="1073"/>
      <c r="AC30" s="1270" t="s">
        <v>521</v>
      </c>
      <c r="AD30" s="1270"/>
      <c r="AE30" s="1270"/>
      <c r="AF30" s="1270"/>
      <c r="AG30" s="1270"/>
      <c r="AH30" s="1324" t="str">
        <f>IF('Test Sheet'!AG19&lt;'Test Sheet'!AG20,"Income Test",IF('Test Sheet'!AG20&lt;'Test Sheet'!AG19,"Assets Test",IF('Test Sheet'!AG21='Test Sheet'!AP31,"Full","Income Test")))</f>
        <v>Assets Test</v>
      </c>
      <c r="AI30" s="1324"/>
      <c r="AJ30" s="1324"/>
      <c r="AK30" s="1324"/>
      <c r="AL30" s="1324"/>
      <c r="AM30" s="1324"/>
      <c r="AN30" s="1324"/>
      <c r="AO30" s="550"/>
      <c r="AP30" s="1049"/>
      <c r="AQ30" s="1049"/>
      <c r="AR30" s="1049"/>
      <c r="AS30" s="1049"/>
      <c r="AT30" s="1049"/>
      <c r="AU30" s="1049"/>
      <c r="AV30" s="1049"/>
      <c r="AW30" s="1049"/>
      <c r="AX30" s="1047"/>
      <c r="AY30" s="1047"/>
      <c r="AZ30" s="1047"/>
      <c r="BA30" s="1047"/>
      <c r="BB30" s="1047"/>
      <c r="BC30" s="1047"/>
      <c r="BD30" s="1047"/>
      <c r="BE30" s="1047"/>
      <c r="BF30" s="1047"/>
      <c r="BG30" s="1047"/>
      <c r="BH30" s="1047"/>
    </row>
    <row r="31" spans="4:75" ht="21" customHeight="1">
      <c r="P31" s="1080" t="s">
        <v>575</v>
      </c>
      <c r="Q31" s="1084"/>
      <c r="R31" s="1084"/>
      <c r="S31" s="1084"/>
      <c r="T31" s="1084"/>
      <c r="U31" s="1084"/>
      <c r="V31" s="1084"/>
      <c r="W31" s="1084"/>
      <c r="X31" s="1084"/>
      <c r="Y31" s="1085"/>
      <c r="AB31" s="1073"/>
      <c r="AC31" s="1271"/>
      <c r="AD31" s="1271"/>
      <c r="AE31" s="1271"/>
      <c r="AF31" s="1271"/>
      <c r="AG31" s="1271"/>
      <c r="AH31" s="1324"/>
      <c r="AI31" s="1324"/>
      <c r="AJ31" s="1324"/>
      <c r="AK31" s="1324"/>
      <c r="AL31" s="1324"/>
      <c r="AM31" s="1324"/>
      <c r="AN31" s="1324"/>
      <c r="AO31" s="550"/>
      <c r="AP31" s="1049"/>
      <c r="AQ31" s="1049"/>
      <c r="AR31" s="1049"/>
      <c r="AS31" s="1049"/>
      <c r="AT31" s="1049"/>
      <c r="AU31" s="1049"/>
      <c r="AV31" s="1049"/>
      <c r="AW31" s="1049"/>
      <c r="AX31" s="1047"/>
      <c r="AY31" s="1047"/>
      <c r="AZ31" s="1047"/>
      <c r="BA31" s="1047"/>
      <c r="BB31" s="1047"/>
      <c r="BC31" s="1047"/>
      <c r="BD31" s="1047"/>
      <c r="BE31" s="1047"/>
      <c r="BF31" s="1047"/>
      <c r="BG31" s="1047"/>
      <c r="BH31" s="1047"/>
      <c r="BW31" s="547"/>
    </row>
    <row r="32" spans="4:75" ht="3.75" customHeight="1">
      <c r="P32" s="554"/>
      <c r="Q32" s="555"/>
      <c r="R32" s="555"/>
      <c r="S32" s="555"/>
      <c r="T32" s="555"/>
      <c r="U32" s="555"/>
      <c r="V32" s="556"/>
      <c r="W32" s="556"/>
      <c r="X32" s="556"/>
      <c r="Y32" s="557"/>
      <c r="AB32" s="1073"/>
      <c r="AC32" s="1051"/>
      <c r="AD32" s="1051"/>
      <c r="AE32" s="1051"/>
      <c r="AF32" s="1051"/>
      <c r="AG32" s="1049"/>
      <c r="AH32" s="1049"/>
      <c r="AI32" s="1049"/>
      <c r="AJ32" s="1049"/>
      <c r="AK32" s="1049"/>
      <c r="AL32" s="1049"/>
      <c r="AM32" s="1049"/>
      <c r="AN32" s="1049"/>
      <c r="AO32" s="550"/>
      <c r="AP32" s="1049"/>
      <c r="AQ32" s="1049"/>
      <c r="AR32" s="1049"/>
      <c r="AS32" s="1049"/>
      <c r="AT32" s="1049"/>
      <c r="AU32" s="1049"/>
      <c r="AV32" s="1049"/>
      <c r="AW32" s="1049"/>
      <c r="AX32" s="1047"/>
      <c r="AY32" s="1047"/>
      <c r="AZ32" s="1047"/>
      <c r="BA32" s="1047"/>
      <c r="BB32" s="1047"/>
      <c r="BC32" s="1047"/>
      <c r="BD32" s="1047"/>
      <c r="BE32" s="1047"/>
      <c r="BF32" s="1047"/>
      <c r="BG32" s="1047"/>
      <c r="BH32" s="1047"/>
      <c r="BK32" s="550"/>
      <c r="BL32" s="550"/>
      <c r="BM32" s="550"/>
      <c r="BN32" s="550"/>
      <c r="BO32" s="550"/>
      <c r="BP32" s="550"/>
      <c r="BQ32" s="550"/>
      <c r="BR32" s="550"/>
      <c r="BS32" s="550"/>
      <c r="BT32" s="550"/>
      <c r="BU32" s="550"/>
    </row>
    <row r="33" spans="16:75" ht="18.75" customHeight="1">
      <c r="P33" s="558"/>
      <c r="Q33" s="555"/>
      <c r="R33" s="556"/>
      <c r="S33" s="661" t="s">
        <v>94</v>
      </c>
      <c r="T33" s="1300">
        <v>0.6</v>
      </c>
      <c r="U33" s="1301"/>
      <c r="V33" s="556"/>
      <c r="W33" s="661" t="s">
        <v>93</v>
      </c>
      <c r="X33" s="596">
        <f>1-T33</f>
        <v>0.4</v>
      </c>
      <c r="Y33" s="557"/>
      <c r="AB33" s="1073"/>
      <c r="AC33" s="1051"/>
      <c r="AD33" s="1051"/>
      <c r="AE33" s="1051"/>
      <c r="AF33" s="1051"/>
      <c r="AG33" s="1049"/>
      <c r="AH33" s="1049"/>
      <c r="AI33" s="1049"/>
      <c r="AJ33" s="1049"/>
      <c r="AK33" s="1049"/>
      <c r="AL33" s="1049"/>
      <c r="AM33" s="1049"/>
      <c r="AN33" s="1049"/>
      <c r="AO33" s="1049"/>
      <c r="AP33" s="1049"/>
      <c r="AQ33" s="1049"/>
      <c r="AR33" s="1049"/>
      <c r="AS33" s="1049"/>
      <c r="AT33" s="1049"/>
      <c r="AU33" s="1049"/>
      <c r="AV33" s="1049"/>
      <c r="AW33" s="1049"/>
      <c r="AX33" s="1049"/>
      <c r="AY33" s="1049"/>
      <c r="AZ33" s="1049"/>
      <c r="BA33" s="1047"/>
      <c r="BB33" s="1047"/>
      <c r="BC33" s="1047"/>
      <c r="BD33" s="1047"/>
      <c r="BE33" s="1047"/>
      <c r="BF33" s="1047"/>
      <c r="BG33" s="1047"/>
      <c r="BH33" s="1052"/>
      <c r="BK33" s="550"/>
      <c r="BL33" s="550"/>
      <c r="BM33" s="550"/>
      <c r="BN33" s="550"/>
      <c r="BO33" s="550"/>
      <c r="BP33" s="550"/>
      <c r="BQ33" s="550"/>
      <c r="BR33" s="550"/>
      <c r="BS33" s="550"/>
      <c r="BT33" s="550"/>
      <c r="BU33" s="550"/>
      <c r="BW33" s="597"/>
    </row>
    <row r="34" spans="16:75" ht="3.75" customHeight="1">
      <c r="P34" s="598"/>
      <c r="Q34" s="599"/>
      <c r="R34" s="599"/>
      <c r="S34" s="599"/>
      <c r="T34" s="599"/>
      <c r="U34" s="599"/>
      <c r="V34" s="599"/>
      <c r="W34" s="599"/>
      <c r="X34" s="599"/>
      <c r="Y34" s="600"/>
      <c r="AA34" s="601"/>
      <c r="AB34" s="1073"/>
      <c r="AC34" s="1051"/>
      <c r="AD34" s="1051"/>
      <c r="AE34" s="1051"/>
      <c r="AF34" s="1051"/>
      <c r="AG34" s="1049"/>
      <c r="AH34" s="1049"/>
      <c r="AI34" s="1049"/>
      <c r="AJ34" s="1049"/>
      <c r="AK34" s="1049"/>
      <c r="AL34" s="1049"/>
      <c r="AM34" s="1049"/>
      <c r="AN34" s="1049"/>
      <c r="AO34" s="1049"/>
      <c r="AP34" s="1049"/>
      <c r="AQ34" s="1049"/>
      <c r="AR34" s="1049"/>
      <c r="AS34" s="1049"/>
      <c r="AT34" s="1049"/>
      <c r="AU34" s="1049"/>
      <c r="AV34" s="1049"/>
      <c r="AW34" s="1049"/>
      <c r="AX34" s="1049"/>
      <c r="AY34" s="1049"/>
      <c r="AZ34" s="1049"/>
      <c r="BA34" s="1047"/>
      <c r="BB34" s="1047"/>
      <c r="BC34" s="1047"/>
      <c r="BD34" s="1047"/>
      <c r="BE34" s="1047"/>
      <c r="BF34" s="1047"/>
      <c r="BG34" s="1047"/>
      <c r="BH34" s="1052"/>
      <c r="BK34" s="550"/>
      <c r="BL34" s="550"/>
      <c r="BM34" s="550"/>
      <c r="BN34" s="550"/>
      <c r="BO34" s="550"/>
      <c r="BP34" s="550"/>
      <c r="BQ34" s="550"/>
      <c r="BR34" s="550"/>
      <c r="BS34" s="550"/>
      <c r="BT34" s="550"/>
      <c r="BU34" s="550"/>
    </row>
    <row r="35" spans="16:75" ht="7.5" customHeight="1">
      <c r="AB35" s="1073"/>
      <c r="AC35" s="1051"/>
      <c r="AD35" s="1051"/>
      <c r="AE35" s="1051"/>
      <c r="AF35" s="1051"/>
      <c r="AG35" s="1049"/>
      <c r="AH35" s="1049"/>
      <c r="AI35" s="1049"/>
      <c r="AJ35" s="1049"/>
      <c r="AK35" s="1049"/>
      <c r="AL35" s="1049"/>
      <c r="AM35" s="1049"/>
      <c r="AN35" s="1049"/>
      <c r="AO35" s="550"/>
      <c r="AP35" s="1049"/>
      <c r="AQ35" s="1049"/>
      <c r="AR35" s="1049"/>
      <c r="AS35" s="1049"/>
      <c r="AT35" s="1049"/>
      <c r="AU35" s="1049"/>
      <c r="AV35" s="1049"/>
      <c r="AW35" s="1049"/>
      <c r="AX35" s="1049"/>
      <c r="AY35" s="1049"/>
      <c r="AZ35" s="1049"/>
      <c r="BA35" s="1049"/>
      <c r="BB35" s="1049"/>
      <c r="BC35" s="1049"/>
      <c r="BD35" s="1049"/>
      <c r="BE35" s="1049"/>
      <c r="BF35" s="1049"/>
      <c r="BG35" s="1049"/>
      <c r="BH35" s="1053"/>
      <c r="BK35" s="550"/>
      <c r="BL35" s="550"/>
      <c r="BM35" s="550"/>
      <c r="BN35" s="550"/>
      <c r="BO35" s="550"/>
      <c r="BP35" s="550"/>
      <c r="BQ35" s="550"/>
      <c r="BR35" s="550"/>
      <c r="BS35" s="550"/>
      <c r="BT35" s="550"/>
      <c r="BU35" s="550"/>
      <c r="BW35" s="550"/>
    </row>
    <row r="36" spans="16:75" ht="21" customHeight="1">
      <c r="P36" s="1080" t="s">
        <v>1208</v>
      </c>
      <c r="Q36" s="1084"/>
      <c r="R36" s="1084"/>
      <c r="S36" s="1084"/>
      <c r="T36" s="1084"/>
      <c r="U36" s="1084"/>
      <c r="V36" s="1084"/>
      <c r="W36" s="1084"/>
      <c r="X36" s="1084"/>
      <c r="Y36" s="1085"/>
      <c r="Z36" s="547"/>
      <c r="AB36" s="1073"/>
      <c r="AC36" s="1323" t="str">
        <f>IF(ROUND('Admin Settings'!J72*100,1)=0,"You will not receive any Age Pension","You are eligible for "&amp;ROUND('Admin Settings'!J72*100,1)&amp;"% of the maximum Age Pension")</f>
        <v>You are eligible for 35.5% of the maximum Age Pension</v>
      </c>
      <c r="AD36" s="1323"/>
      <c r="AE36" s="1323"/>
      <c r="AF36" s="1051"/>
      <c r="AG36" s="1051"/>
      <c r="AH36" s="1051"/>
      <c r="AI36" s="1051"/>
      <c r="AJ36" s="1051"/>
      <c r="AK36" s="1051"/>
      <c r="AL36" s="1051"/>
      <c r="AM36" s="1051"/>
      <c r="AN36" s="1049"/>
      <c r="AO36" s="681"/>
      <c r="AP36" s="1049"/>
      <c r="AQ36" s="1049"/>
      <c r="AR36" s="1049"/>
      <c r="AS36" s="1049"/>
      <c r="AT36" s="1049"/>
      <c r="AU36" s="1049"/>
      <c r="AV36" s="1049"/>
      <c r="AW36" s="1049"/>
      <c r="AX36" s="1049"/>
      <c r="AY36" s="1049"/>
      <c r="AZ36" s="1049"/>
      <c r="BA36" s="1049"/>
      <c r="BB36" s="1049"/>
      <c r="BC36" s="1049"/>
      <c r="BD36" s="1049"/>
      <c r="BE36" s="1049"/>
      <c r="BF36" s="1049"/>
      <c r="BG36" s="1049"/>
      <c r="BH36" s="1053"/>
      <c r="BK36" s="550"/>
      <c r="BL36" s="550"/>
      <c r="BO36" s="550"/>
      <c r="BP36" s="550"/>
      <c r="BQ36" s="550"/>
      <c r="BR36" s="550"/>
      <c r="BS36" s="550"/>
      <c r="BT36" s="550"/>
      <c r="BU36" s="550"/>
      <c r="BW36" s="550"/>
    </row>
    <row r="37" spans="16:75" ht="3.75" customHeight="1">
      <c r="P37" s="554"/>
      <c r="Q37" s="555"/>
      <c r="R37" s="555"/>
      <c r="S37" s="555"/>
      <c r="T37" s="555"/>
      <c r="U37" s="555"/>
      <c r="V37" s="556"/>
      <c r="W37" s="556"/>
      <c r="X37" s="556"/>
      <c r="Y37" s="557"/>
      <c r="AB37" s="1073"/>
      <c r="AC37" s="1323"/>
      <c r="AD37" s="1323"/>
      <c r="AE37" s="1323"/>
      <c r="AF37" s="1051"/>
      <c r="AG37" s="1051"/>
      <c r="AH37" s="1051"/>
      <c r="AI37" s="1051"/>
      <c r="AJ37" s="1051"/>
      <c r="AK37" s="1051"/>
      <c r="AL37" s="1051"/>
      <c r="AM37" s="1051"/>
      <c r="AN37" s="1049"/>
      <c r="AO37" s="681"/>
      <c r="AP37" s="1049"/>
      <c r="AQ37" s="1049"/>
      <c r="AR37" s="1049"/>
      <c r="AS37" s="1049"/>
      <c r="AT37" s="1049"/>
      <c r="AU37" s="1049"/>
      <c r="AV37" s="1049"/>
      <c r="AW37" s="1049"/>
      <c r="AX37" s="1049"/>
      <c r="AY37" s="1049"/>
      <c r="AZ37" s="1049"/>
      <c r="BA37" s="1049"/>
      <c r="BB37" s="1049"/>
      <c r="BC37" s="1049"/>
      <c r="BD37" s="1049"/>
      <c r="BE37" s="1049"/>
      <c r="BF37" s="1049"/>
      <c r="BG37" s="1049"/>
      <c r="BH37" s="1053"/>
      <c r="BK37" s="550"/>
      <c r="BL37" s="550"/>
      <c r="BO37" s="550"/>
      <c r="BP37" s="550"/>
      <c r="BQ37" s="550"/>
      <c r="BR37" s="550"/>
      <c r="BS37" s="550"/>
      <c r="BT37" s="550"/>
      <c r="BU37" s="550"/>
      <c r="BV37" s="550"/>
      <c r="BW37" s="550"/>
    </row>
    <row r="38" spans="16:75" ht="18.75" customHeight="1">
      <c r="P38" s="558" t="str">
        <f ca="1">IF(Relationship="Single","Person 1",IF('Admin Settings'!J25="Person 1","Person 1",IF('Admin Settings'!J25="Person 1 only","Person 1","Person 2")))</f>
        <v>Person 1</v>
      </c>
      <c r="Q38" s="555"/>
      <c r="R38" s="555"/>
      <c r="S38" s="555"/>
      <c r="T38" s="555"/>
      <c r="U38" s="555"/>
      <c r="V38" s="1291">
        <v>200000</v>
      </c>
      <c r="W38" s="1292"/>
      <c r="X38" s="1293"/>
      <c r="Y38" s="557"/>
      <c r="AB38" s="1073"/>
      <c r="AC38" s="1323"/>
      <c r="AD38" s="1323"/>
      <c r="AE38" s="1323"/>
      <c r="AF38" s="1064"/>
      <c r="AG38" s="1051"/>
      <c r="AH38" s="1051"/>
      <c r="AI38" s="1051"/>
      <c r="AJ38" s="1051"/>
      <c r="AK38" s="1051"/>
      <c r="AL38" s="1051"/>
      <c r="AM38" s="1051"/>
      <c r="AN38" s="1049"/>
      <c r="AO38" s="545"/>
      <c r="AP38" s="1049"/>
      <c r="AQ38" s="1049"/>
      <c r="AR38" s="1049"/>
      <c r="AS38" s="1049"/>
      <c r="AT38" s="1049"/>
      <c r="AU38" s="1049"/>
      <c r="AV38" s="1049"/>
      <c r="AW38" s="1049"/>
      <c r="AX38" s="1049"/>
      <c r="AY38" s="1049"/>
      <c r="AZ38" s="1049"/>
      <c r="BA38" s="1049"/>
      <c r="BB38" s="1049"/>
      <c r="BC38" s="1049"/>
      <c r="BD38" s="1049"/>
      <c r="BE38" s="1049"/>
      <c r="BF38" s="1049"/>
      <c r="BG38" s="1049"/>
      <c r="BH38" s="1053"/>
      <c r="BK38" s="550"/>
      <c r="BL38" s="550"/>
      <c r="BO38" s="550"/>
      <c r="BP38" s="550"/>
      <c r="BQ38" s="550"/>
      <c r="BR38" s="550"/>
      <c r="BS38" s="550"/>
      <c r="BT38" s="550"/>
      <c r="BU38" s="550"/>
      <c r="BV38" s="550"/>
      <c r="BW38" s="550"/>
    </row>
    <row r="39" spans="16:75" ht="3.75" customHeight="1" thickBot="1">
      <c r="P39" s="559"/>
      <c r="Q39" s="560"/>
      <c r="R39" s="560"/>
      <c r="S39" s="560"/>
      <c r="T39" s="560"/>
      <c r="U39" s="560"/>
      <c r="V39" s="571"/>
      <c r="W39" s="571"/>
      <c r="X39" s="571"/>
      <c r="Y39" s="602"/>
      <c r="AB39" s="1073"/>
      <c r="AC39" s="1323"/>
      <c r="AD39" s="1323"/>
      <c r="AE39" s="1323"/>
      <c r="AF39" s="1064"/>
      <c r="AG39" s="1051"/>
      <c r="AH39" s="1051"/>
      <c r="AI39" s="1051"/>
      <c r="AJ39" s="1051"/>
      <c r="AK39" s="1051"/>
      <c r="AL39" s="1051"/>
      <c r="AM39" s="1051"/>
      <c r="AN39" s="1049"/>
      <c r="AO39" s="681"/>
      <c r="AP39" s="1049"/>
      <c r="AQ39" s="1049"/>
      <c r="AR39" s="1049"/>
      <c r="AS39" s="1049"/>
      <c r="AT39" s="1049"/>
      <c r="AU39" s="1049"/>
      <c r="AV39" s="1049"/>
      <c r="AW39" s="1049"/>
      <c r="AX39" s="1049"/>
      <c r="AY39" s="1049"/>
      <c r="AZ39" s="1049"/>
      <c r="BA39" s="1049"/>
      <c r="BB39" s="1049"/>
      <c r="BC39" s="1049"/>
      <c r="BD39" s="1049"/>
      <c r="BE39" s="1049"/>
      <c r="BF39" s="1049"/>
      <c r="BG39" s="1049"/>
      <c r="BH39" s="1049"/>
      <c r="BK39" s="550"/>
      <c r="BL39" s="550"/>
      <c r="BO39" s="550"/>
      <c r="BP39" s="550"/>
      <c r="BQ39" s="550"/>
      <c r="BR39" s="550"/>
      <c r="BS39" s="550"/>
      <c r="BT39" s="550"/>
      <c r="BU39" s="550"/>
      <c r="BV39" s="550"/>
      <c r="BW39" s="550"/>
    </row>
    <row r="40" spans="16:75" ht="3.75" customHeight="1" thickTop="1">
      <c r="P40" s="603"/>
      <c r="Q40" s="573"/>
      <c r="R40" s="573"/>
      <c r="S40" s="573"/>
      <c r="T40" s="573"/>
      <c r="U40" s="573"/>
      <c r="V40" s="573"/>
      <c r="W40" s="573"/>
      <c r="X40" s="573"/>
      <c r="Y40" s="604"/>
      <c r="AB40" s="1073"/>
      <c r="AC40" s="1323"/>
      <c r="AD40" s="1323"/>
      <c r="AE40" s="1323"/>
      <c r="AF40" s="1064"/>
      <c r="AG40" s="1051"/>
      <c r="AH40" s="1051"/>
      <c r="AI40" s="1051"/>
      <c r="AJ40" s="1051"/>
      <c r="AK40" s="1051"/>
      <c r="AL40" s="1051"/>
      <c r="AM40" s="1051"/>
      <c r="AN40" s="1049"/>
      <c r="AO40" s="681"/>
      <c r="AP40" s="1049"/>
      <c r="AQ40" s="1049"/>
      <c r="AR40" s="1049"/>
      <c r="AS40" s="1049"/>
      <c r="AT40" s="1049"/>
      <c r="AU40" s="1049"/>
      <c r="AV40" s="1049"/>
      <c r="AW40" s="1049"/>
      <c r="AX40" s="1049"/>
      <c r="AY40" s="1049"/>
      <c r="AZ40" s="1049"/>
      <c r="BA40" s="1049"/>
      <c r="BB40" s="1049"/>
      <c r="BC40" s="1049"/>
      <c r="BD40" s="1049"/>
      <c r="BE40" s="1049"/>
      <c r="BF40" s="1049"/>
      <c r="BG40" s="1049"/>
      <c r="BH40" s="1049"/>
      <c r="BK40" s="550"/>
      <c r="BL40" s="550"/>
      <c r="BO40" s="550"/>
      <c r="BP40" s="550"/>
      <c r="BQ40" s="550"/>
      <c r="BR40" s="550"/>
      <c r="BS40" s="550"/>
      <c r="BT40" s="550"/>
      <c r="BU40" s="550"/>
      <c r="BV40" s="550"/>
      <c r="BW40" s="550"/>
    </row>
    <row r="41" spans="16:75" ht="18.75" customHeight="1">
      <c r="P41" s="558" t="str">
        <f ca="1">IF(Relationship="Single","Person 2",IF('Admin Settings'!J26="Person 2","Person 2",IF('Admin Settings'!J26="Person 2 only","Person 2","Person 1")))</f>
        <v>Person 1</v>
      </c>
      <c r="Q41" s="555"/>
      <c r="R41" s="555"/>
      <c r="S41" s="555"/>
      <c r="T41" s="587" t="s">
        <v>579</v>
      </c>
      <c r="U41" s="555"/>
      <c r="V41" s="1302">
        <v>150000</v>
      </c>
      <c r="W41" s="1303"/>
      <c r="X41" s="1304"/>
      <c r="Y41" s="557"/>
      <c r="AB41" s="1073"/>
      <c r="AC41" s="1323"/>
      <c r="AD41" s="1323"/>
      <c r="AE41" s="1323"/>
      <c r="AF41" s="1064"/>
      <c r="AG41" s="1051"/>
      <c r="AH41" s="1051"/>
      <c r="AI41" s="1051"/>
      <c r="AJ41" s="1051"/>
      <c r="AK41" s="1051"/>
      <c r="AL41" s="1051"/>
      <c r="AM41" s="1051"/>
      <c r="AN41" s="1049"/>
      <c r="AP41" s="1049"/>
      <c r="AQ41" s="1049"/>
      <c r="AR41" s="1049"/>
      <c r="AS41" s="1049"/>
      <c r="AT41" s="1049"/>
      <c r="AU41" s="1049"/>
      <c r="AV41" s="1049"/>
      <c r="AW41" s="1049"/>
      <c r="AX41" s="1049"/>
      <c r="AY41" s="1049"/>
      <c r="AZ41" s="1049"/>
      <c r="BA41" s="1049"/>
      <c r="BB41" s="1049"/>
      <c r="BC41" s="1049"/>
      <c r="BD41" s="1049"/>
      <c r="BE41" s="1049"/>
      <c r="BF41" s="1049"/>
      <c r="BG41" s="1049"/>
      <c r="BH41" s="1049"/>
      <c r="BK41" s="550"/>
      <c r="BL41" s="550"/>
      <c r="BO41" s="550"/>
      <c r="BP41" s="550"/>
      <c r="BQ41" s="550"/>
      <c r="BR41" s="550"/>
      <c r="BS41" s="550"/>
      <c r="BT41" s="550"/>
      <c r="BU41" s="550"/>
      <c r="BV41" s="550"/>
      <c r="BW41" s="550"/>
    </row>
    <row r="42" spans="16:75" ht="3.75" customHeight="1">
      <c r="P42" s="592"/>
      <c r="Q42" s="593"/>
      <c r="R42" s="593"/>
      <c r="S42" s="593"/>
      <c r="T42" s="593"/>
      <c r="U42" s="593"/>
      <c r="V42" s="594"/>
      <c r="W42" s="594"/>
      <c r="X42" s="594"/>
      <c r="Y42" s="595"/>
      <c r="AB42" s="1073"/>
      <c r="AC42" s="1323"/>
      <c r="AD42" s="1323"/>
      <c r="AE42" s="1323"/>
      <c r="AF42" s="1064"/>
      <c r="AG42" s="1051"/>
      <c r="AH42" s="1051"/>
      <c r="AI42" s="1051"/>
      <c r="AJ42" s="1051"/>
      <c r="AK42" s="1051"/>
      <c r="AL42" s="1051"/>
      <c r="AM42" s="1051"/>
      <c r="AN42" s="1049"/>
      <c r="AP42" s="1049"/>
      <c r="AQ42" s="1049"/>
      <c r="AR42" s="1049"/>
      <c r="AS42" s="1049"/>
      <c r="AT42" s="1049"/>
      <c r="AU42" s="1049"/>
      <c r="AV42" s="1049"/>
      <c r="AW42" s="1049"/>
      <c r="AX42" s="1049"/>
      <c r="AY42" s="1049"/>
      <c r="AZ42" s="1049"/>
      <c r="BA42" s="1049"/>
      <c r="BB42" s="1049"/>
      <c r="BC42" s="1049"/>
      <c r="BD42" s="1049"/>
      <c r="BE42" s="1049"/>
      <c r="BF42" s="1049"/>
      <c r="BG42" s="1049"/>
      <c r="BH42" s="1049"/>
      <c r="BK42" s="550"/>
      <c r="BL42" s="550"/>
      <c r="BM42" s="550"/>
      <c r="BN42" s="550"/>
      <c r="BO42" s="550"/>
      <c r="BP42" s="550"/>
      <c r="BQ42" s="550"/>
      <c r="BR42" s="550"/>
      <c r="BS42" s="550"/>
      <c r="BT42" s="550"/>
      <c r="BU42" s="550"/>
      <c r="BV42" s="550"/>
      <c r="BW42" s="550"/>
    </row>
    <row r="43" spans="16:75" ht="7.5" customHeight="1">
      <c r="AB43" s="1073"/>
      <c r="AC43" s="1323"/>
      <c r="AD43" s="1323"/>
      <c r="AE43" s="1323"/>
      <c r="AF43" s="1064"/>
      <c r="AG43" s="1051"/>
      <c r="AH43" s="1051"/>
      <c r="AI43" s="1051"/>
      <c r="AJ43" s="1051"/>
      <c r="AK43" s="1051"/>
      <c r="AL43" s="1051"/>
      <c r="AM43" s="1051"/>
      <c r="AN43" s="1049"/>
      <c r="AP43" s="1049"/>
      <c r="AQ43" s="1049"/>
      <c r="AR43" s="1049"/>
      <c r="AS43" s="1049"/>
      <c r="AT43" s="1049"/>
      <c r="AU43" s="1049"/>
      <c r="AV43" s="1049"/>
      <c r="AW43" s="1049"/>
      <c r="AX43" s="1049"/>
      <c r="AY43" s="1049"/>
      <c r="AZ43" s="1049"/>
      <c r="BA43" s="1049"/>
      <c r="BB43" s="1049"/>
      <c r="BC43" s="1049"/>
      <c r="BD43" s="1049"/>
      <c r="BE43" s="1049"/>
      <c r="BF43" s="1049"/>
      <c r="BG43" s="1049"/>
      <c r="BH43" s="1049"/>
    </row>
    <row r="44" spans="16:75" ht="21" customHeight="1">
      <c r="P44" s="1080" t="s">
        <v>1209</v>
      </c>
      <c r="Q44" s="1084"/>
      <c r="R44" s="1084"/>
      <c r="S44" s="1084"/>
      <c r="T44" s="1084"/>
      <c r="U44" s="1084"/>
      <c r="V44" s="1084"/>
      <c r="W44" s="1084"/>
      <c r="X44" s="1084"/>
      <c r="Y44" s="1085"/>
      <c r="AB44" s="1073"/>
      <c r="AC44" s="1323"/>
      <c r="AD44" s="1323"/>
      <c r="AE44" s="1323"/>
      <c r="AF44" s="1064"/>
      <c r="AG44" s="1051"/>
      <c r="AH44" s="1051"/>
      <c r="AI44" s="1051"/>
      <c r="AJ44" s="1051"/>
      <c r="AK44" s="1051"/>
      <c r="AL44" s="1051"/>
      <c r="AM44" s="1051"/>
      <c r="AN44" s="1049"/>
      <c r="AP44" s="1049"/>
      <c r="AQ44" s="1049"/>
      <c r="AR44" s="1049"/>
      <c r="AS44" s="1049"/>
      <c r="AT44" s="1049"/>
      <c r="AU44" s="1049"/>
      <c r="AV44" s="1049"/>
      <c r="AW44" s="1049"/>
      <c r="AX44" s="1049"/>
      <c r="AY44" s="1049"/>
      <c r="AZ44" s="1049"/>
      <c r="BA44" s="1049"/>
      <c r="BB44" s="1049"/>
      <c r="BC44" s="1049"/>
      <c r="BD44" s="1049"/>
      <c r="BE44" s="1049"/>
      <c r="BF44" s="1049"/>
      <c r="BG44" s="1049"/>
      <c r="BH44" s="1049"/>
    </row>
    <row r="45" spans="16:75" ht="3.75" customHeight="1">
      <c r="P45" s="554"/>
      <c r="Q45" s="555"/>
      <c r="R45" s="555"/>
      <c r="S45" s="555"/>
      <c r="T45" s="555"/>
      <c r="U45" s="555"/>
      <c r="V45" s="556"/>
      <c r="W45" s="556"/>
      <c r="X45" s="556"/>
      <c r="Y45" s="557"/>
      <c r="AB45" s="1073"/>
      <c r="AC45" s="1064"/>
      <c r="AD45" s="1064"/>
      <c r="AE45" s="1064"/>
      <c r="AF45" s="1064"/>
      <c r="AG45" s="1051"/>
      <c r="AH45" s="1051"/>
      <c r="AI45" s="1051"/>
      <c r="AJ45" s="1051"/>
      <c r="AK45" s="1051"/>
      <c r="AL45" s="1051"/>
      <c r="AM45" s="1051"/>
      <c r="AN45" s="1049"/>
      <c r="AP45" s="1049"/>
      <c r="AQ45" s="1049"/>
      <c r="AR45" s="1049"/>
      <c r="AS45" s="1049"/>
      <c r="AT45" s="1049"/>
      <c r="AU45" s="1049"/>
      <c r="AV45" s="1049"/>
      <c r="AW45" s="1049"/>
      <c r="AX45" s="1049"/>
      <c r="AY45" s="1049"/>
      <c r="AZ45" s="1049"/>
      <c r="BA45" s="1049"/>
      <c r="BB45" s="1049"/>
      <c r="BC45" s="1049"/>
      <c r="BD45" s="1049"/>
      <c r="BE45" s="1049"/>
      <c r="BF45" s="1049"/>
      <c r="BG45" s="1049"/>
      <c r="BH45" s="1049"/>
    </row>
    <row r="46" spans="16:75" ht="18.75" customHeight="1">
      <c r="P46" s="558" t="s">
        <v>365</v>
      </c>
      <c r="Q46" s="555"/>
      <c r="R46" s="555"/>
      <c r="S46" s="555"/>
      <c r="T46" s="555"/>
      <c r="U46" s="555"/>
      <c r="V46" s="1291">
        <v>15000</v>
      </c>
      <c r="W46" s="1292"/>
      <c r="X46" s="1293"/>
      <c r="Y46" s="557"/>
      <c r="AB46" s="1073"/>
      <c r="AC46" s="1064"/>
      <c r="AD46" s="1064"/>
      <c r="AE46" s="1064"/>
      <c r="AF46" s="1064"/>
      <c r="AG46" s="1051"/>
      <c r="AH46" s="1051"/>
      <c r="AI46" s="1051"/>
      <c r="AJ46" s="1051"/>
      <c r="AK46" s="1051"/>
      <c r="AL46" s="1051"/>
      <c r="AM46" s="1051"/>
      <c r="AN46" s="1049"/>
      <c r="AP46" s="1049"/>
      <c r="AQ46" s="1047"/>
      <c r="AR46" s="1047"/>
      <c r="AS46" s="1047"/>
      <c r="AT46" s="1047"/>
      <c r="AU46" s="1047"/>
      <c r="AV46" s="1047"/>
      <c r="AW46" s="1047"/>
      <c r="AX46" s="1047"/>
      <c r="AY46" s="1047"/>
      <c r="AZ46" s="1047"/>
      <c r="BA46" s="1047"/>
      <c r="BB46" s="1047"/>
      <c r="BC46" s="1047"/>
      <c r="BD46" s="1047"/>
      <c r="BE46" s="1047"/>
      <c r="BF46" s="1047"/>
      <c r="BG46" s="1047"/>
      <c r="BH46" s="1049"/>
    </row>
    <row r="47" spans="16:75" ht="3.75" customHeight="1" thickBot="1">
      <c r="P47" s="559"/>
      <c r="Q47" s="560"/>
      <c r="R47" s="560"/>
      <c r="S47" s="560"/>
      <c r="T47" s="560"/>
      <c r="U47" s="560"/>
      <c r="V47" s="560"/>
      <c r="W47" s="560"/>
      <c r="X47" s="560"/>
      <c r="Y47" s="561"/>
      <c r="AB47" s="1073"/>
      <c r="AC47" s="1064"/>
      <c r="AD47" s="1064"/>
      <c r="AE47" s="1064"/>
      <c r="AF47" s="1064"/>
      <c r="AG47" s="1051"/>
      <c r="AH47" s="1051"/>
      <c r="AI47" s="1051"/>
      <c r="AJ47" s="1051"/>
      <c r="AK47" s="1051"/>
      <c r="AL47" s="1051"/>
      <c r="AM47" s="1051"/>
      <c r="AN47" s="1049"/>
      <c r="AP47" s="1049"/>
      <c r="AQ47" s="1049"/>
      <c r="AR47" s="1049"/>
      <c r="AS47" s="1049"/>
      <c r="AT47" s="1049"/>
      <c r="AU47" s="1049"/>
      <c r="AV47" s="1049"/>
      <c r="AW47" s="1049"/>
      <c r="AX47" s="1049"/>
      <c r="AY47" s="1049"/>
      <c r="AZ47" s="1049"/>
      <c r="BA47" s="1049"/>
      <c r="BB47" s="1049"/>
      <c r="BC47" s="1049"/>
      <c r="BD47" s="1049"/>
      <c r="BE47" s="1049"/>
      <c r="BF47" s="1049"/>
      <c r="BG47" s="1049"/>
      <c r="BH47" s="1049"/>
    </row>
    <row r="48" spans="16:75" ht="3.75" customHeight="1" thickTop="1">
      <c r="P48" s="554"/>
      <c r="Q48" s="555"/>
      <c r="R48" s="555"/>
      <c r="S48" s="555"/>
      <c r="T48" s="555"/>
      <c r="U48" s="555"/>
      <c r="V48" s="556"/>
      <c r="W48" s="556"/>
      <c r="X48" s="556"/>
      <c r="Y48" s="557"/>
      <c r="AB48" s="1073"/>
      <c r="AC48" s="1064"/>
      <c r="AD48" s="1064"/>
      <c r="AE48" s="1064"/>
      <c r="AF48" s="1064"/>
      <c r="AG48" s="1051"/>
      <c r="AH48" s="1051"/>
      <c r="AI48" s="1051"/>
      <c r="AJ48" s="1051"/>
      <c r="AK48" s="1051"/>
      <c r="AL48" s="1051"/>
      <c r="AM48" s="1051"/>
      <c r="AN48" s="1049"/>
      <c r="AP48" s="1049"/>
      <c r="AQ48" s="1049"/>
      <c r="AR48" s="1049"/>
      <c r="AS48" s="1049"/>
      <c r="AT48" s="1049"/>
      <c r="AU48" s="1049"/>
      <c r="AV48" s="1049"/>
      <c r="AW48" s="1049"/>
      <c r="AX48" s="1049"/>
      <c r="AY48" s="1049"/>
      <c r="AZ48" s="1049"/>
      <c r="BA48" s="1049"/>
      <c r="BB48" s="1049"/>
      <c r="BC48" s="1049"/>
      <c r="BD48" s="1049"/>
      <c r="BE48" s="1049"/>
      <c r="BF48" s="1049"/>
      <c r="BG48" s="1049"/>
      <c r="BH48" s="1049"/>
    </row>
    <row r="49" spans="15:60" ht="18.75" customHeight="1">
      <c r="P49" s="558" t="s">
        <v>1181</v>
      </c>
      <c r="Q49" s="555"/>
      <c r="R49" s="555"/>
      <c r="S49" s="555"/>
      <c r="T49" s="555"/>
      <c r="U49" s="555"/>
      <c r="V49" s="1291">
        <v>500000</v>
      </c>
      <c r="W49" s="1292"/>
      <c r="X49" s="1293"/>
      <c r="Y49" s="557"/>
      <c r="AB49" s="1049"/>
      <c r="AC49" s="1049"/>
      <c r="AD49" s="1049"/>
      <c r="AE49" s="1049"/>
      <c r="AF49" s="1049"/>
      <c r="AG49" s="1049"/>
      <c r="AH49" s="1049"/>
      <c r="AI49" s="1049"/>
      <c r="AJ49" s="1049"/>
      <c r="AK49" s="1049"/>
      <c r="AL49" s="1049"/>
      <c r="AM49" s="1049"/>
      <c r="AN49" s="1049"/>
      <c r="AP49" s="1049"/>
      <c r="AQ49" s="1049"/>
      <c r="AR49" s="1049"/>
      <c r="AS49" s="1049"/>
      <c r="AT49" s="1049"/>
      <c r="AU49" s="1049"/>
      <c r="AV49" s="1049"/>
      <c r="AW49" s="1049"/>
      <c r="AX49" s="1049"/>
      <c r="AY49" s="1049"/>
      <c r="AZ49" s="1049"/>
      <c r="BA49" s="1049"/>
      <c r="BB49" s="1049"/>
      <c r="BC49" s="1049"/>
      <c r="BD49" s="1049"/>
      <c r="BE49" s="1049"/>
      <c r="BF49" s="1049"/>
      <c r="BG49" s="1049"/>
      <c r="BH49" s="1049"/>
    </row>
    <row r="50" spans="15:60" ht="3.75" customHeight="1" thickBot="1">
      <c r="P50" s="559"/>
      <c r="Q50" s="560"/>
      <c r="R50" s="560"/>
      <c r="S50" s="560"/>
      <c r="T50" s="560"/>
      <c r="U50" s="560"/>
      <c r="V50" s="560"/>
      <c r="W50" s="560"/>
      <c r="X50" s="560"/>
      <c r="Y50" s="560"/>
      <c r="Z50" s="547"/>
      <c r="AA50" s="547"/>
      <c r="AB50" s="1073"/>
      <c r="AC50" s="1064"/>
      <c r="AD50" s="1064"/>
      <c r="AE50" s="1064"/>
      <c r="AF50" s="1064"/>
      <c r="AG50" s="1051"/>
      <c r="AH50" s="1051"/>
      <c r="AI50" s="1051"/>
      <c r="AJ50" s="1051"/>
      <c r="AK50" s="1051"/>
      <c r="AL50" s="1051"/>
      <c r="AM50" s="1051"/>
      <c r="AN50" s="1049"/>
      <c r="AO50" s="547"/>
      <c r="AP50" s="1049"/>
      <c r="AQ50" s="1049"/>
      <c r="AR50" s="1049"/>
      <c r="AS50" s="1049"/>
      <c r="AT50" s="1049"/>
      <c r="AU50" s="1049"/>
      <c r="AV50" s="1049"/>
      <c r="AW50" s="1049"/>
      <c r="AX50" s="1049"/>
      <c r="AY50" s="1049"/>
      <c r="AZ50" s="1049"/>
      <c r="BA50" s="1049"/>
      <c r="BB50" s="1049"/>
      <c r="BC50" s="1049"/>
      <c r="BD50" s="1049"/>
      <c r="BE50" s="1049"/>
      <c r="BF50" s="1049"/>
      <c r="BG50" s="1049"/>
      <c r="BH50" s="1047"/>
    </row>
    <row r="51" spans="15:60" ht="3.75" customHeight="1" thickTop="1">
      <c r="P51" s="554"/>
      <c r="Q51" s="555"/>
      <c r="R51" s="555"/>
      <c r="S51" s="555"/>
      <c r="T51" s="555"/>
      <c r="U51" s="555"/>
      <c r="V51" s="556"/>
      <c r="W51" s="556"/>
      <c r="X51" s="556"/>
      <c r="Y51" s="557"/>
      <c r="Z51" s="1074"/>
      <c r="AB51" s="1073"/>
      <c r="AC51" s="1064"/>
      <c r="AD51" s="1064"/>
      <c r="AE51" s="1064"/>
      <c r="AF51" s="1064"/>
      <c r="AG51" s="1051"/>
      <c r="AH51" s="1051"/>
      <c r="AI51" s="1051"/>
      <c r="AJ51" s="1051"/>
      <c r="AK51" s="1051"/>
      <c r="AL51" s="1051"/>
      <c r="AM51" s="1051"/>
      <c r="AN51" s="1049"/>
      <c r="AO51" s="547"/>
      <c r="AP51" s="1049"/>
      <c r="AQ51" s="1049"/>
      <c r="AR51" s="1049"/>
      <c r="AS51" s="1049"/>
      <c r="AT51" s="1049"/>
      <c r="AU51" s="1049"/>
      <c r="AV51" s="1049"/>
      <c r="AW51" s="1049"/>
      <c r="AX51" s="1049"/>
      <c r="AY51" s="1049"/>
      <c r="AZ51" s="1049"/>
      <c r="BA51" s="1049"/>
      <c r="BB51" s="1049"/>
      <c r="BC51" s="1049"/>
      <c r="BD51" s="1049"/>
      <c r="BE51" s="1049"/>
      <c r="BF51" s="1049"/>
      <c r="BG51" s="1049"/>
      <c r="BH51" s="1053"/>
    </row>
    <row r="52" spans="15:60" ht="18.75" customHeight="1">
      <c r="P52" s="558" t="s">
        <v>541</v>
      </c>
      <c r="Q52" s="555"/>
      <c r="R52" s="555"/>
      <c r="S52" s="555"/>
      <c r="T52" s="555"/>
      <c r="U52" s="555"/>
      <c r="V52" s="1291">
        <v>0</v>
      </c>
      <c r="W52" s="1292"/>
      <c r="X52" s="1293"/>
      <c r="Y52" s="557"/>
      <c r="AB52" s="1073"/>
      <c r="AC52" s="1064"/>
      <c r="AD52" s="1064"/>
      <c r="AE52" s="1064"/>
      <c r="AF52" s="1064"/>
      <c r="AG52" s="1051"/>
      <c r="AH52" s="1051"/>
      <c r="AI52" s="1051"/>
      <c r="AJ52" s="1051"/>
      <c r="AK52" s="1051"/>
      <c r="AL52" s="1051"/>
      <c r="AM52" s="1051"/>
      <c r="AN52" s="1049"/>
      <c r="AO52" s="547"/>
      <c r="AP52" s="1049"/>
      <c r="AQ52" s="1049"/>
      <c r="AR52" s="1049"/>
      <c r="AS52" s="1049"/>
      <c r="AT52" s="1049"/>
      <c r="AU52" s="1049"/>
      <c r="AV52" s="1049"/>
      <c r="AW52" s="1049"/>
      <c r="AX52" s="1049"/>
      <c r="AY52" s="1049"/>
      <c r="AZ52" s="1049"/>
      <c r="BA52" s="1049"/>
      <c r="BB52" s="1049"/>
      <c r="BC52" s="1049"/>
      <c r="BD52" s="1049"/>
      <c r="BE52" s="1049"/>
      <c r="BF52" s="1049"/>
      <c r="BG52" s="1049"/>
      <c r="BH52" s="1049"/>
    </row>
    <row r="53" spans="15:60" ht="3.75" customHeight="1" thickBot="1">
      <c r="P53" s="559"/>
      <c r="Q53" s="560"/>
      <c r="R53" s="560"/>
      <c r="S53" s="560"/>
      <c r="T53" s="560"/>
      <c r="U53" s="560"/>
      <c r="V53" s="560"/>
      <c r="W53" s="560"/>
      <c r="X53" s="560"/>
      <c r="Y53" s="561"/>
      <c r="AB53" s="547"/>
      <c r="AP53" s="1049"/>
      <c r="AQ53" s="1049"/>
      <c r="AR53" s="1049"/>
      <c r="AS53" s="1049"/>
      <c r="AT53" s="1049"/>
      <c r="AU53" s="1049"/>
      <c r="AV53" s="1049"/>
      <c r="AW53" s="1049"/>
      <c r="AX53" s="1049"/>
      <c r="AY53" s="1049"/>
      <c r="AZ53" s="1049"/>
      <c r="BA53" s="1049"/>
      <c r="BB53" s="1049"/>
      <c r="BC53" s="1049"/>
      <c r="BD53" s="1049"/>
      <c r="BE53" s="1049"/>
      <c r="BF53" s="1049"/>
      <c r="BG53" s="1049"/>
      <c r="BH53" s="1049"/>
    </row>
    <row r="54" spans="15:60" ht="3.75" customHeight="1" thickTop="1">
      <c r="P54" s="554"/>
      <c r="Q54" s="555"/>
      <c r="R54" s="555"/>
      <c r="S54" s="555"/>
      <c r="T54" s="555"/>
      <c r="U54" s="555"/>
      <c r="V54" s="556"/>
      <c r="W54" s="556"/>
      <c r="X54" s="556"/>
      <c r="Y54" s="557"/>
      <c r="AB54" s="547"/>
      <c r="AN54" s="547"/>
      <c r="AO54" s="547"/>
      <c r="AP54" s="1049"/>
      <c r="AQ54" s="1051"/>
      <c r="AR54" s="1051"/>
      <c r="AS54" s="1051"/>
      <c r="AT54" s="1051"/>
      <c r="AU54" s="1051"/>
      <c r="AV54" s="1051"/>
      <c r="AW54" s="1051"/>
      <c r="AX54" s="1051"/>
      <c r="AY54" s="1051"/>
      <c r="AZ54" s="1051"/>
      <c r="BA54" s="1051"/>
      <c r="BB54" s="1051"/>
      <c r="BC54" s="1051"/>
      <c r="BD54" s="1051"/>
      <c r="BE54" s="1051"/>
      <c r="BF54" s="1051"/>
      <c r="BG54" s="1051"/>
      <c r="BH54" s="1049"/>
    </row>
    <row r="55" spans="15:60" ht="18.75" customHeight="1" thickBot="1">
      <c r="P55" s="558" t="s">
        <v>49</v>
      </c>
      <c r="Q55" s="555"/>
      <c r="R55" s="555"/>
      <c r="S55" s="555"/>
      <c r="T55" s="555"/>
      <c r="U55" s="555"/>
      <c r="V55" s="1291">
        <v>0</v>
      </c>
      <c r="W55" s="1292"/>
      <c r="X55" s="1293"/>
      <c r="Y55" s="557"/>
      <c r="AB55" s="1069"/>
      <c r="AC55" s="1069"/>
      <c r="AD55" s="1069"/>
      <c r="AE55" s="1069"/>
      <c r="AF55" s="1069"/>
      <c r="AG55" s="1069"/>
      <c r="AH55" s="1069"/>
      <c r="AI55" s="1069"/>
      <c r="AJ55" s="1069"/>
      <c r="AK55" s="1069"/>
      <c r="AL55" s="1069"/>
      <c r="AM55" s="1069"/>
      <c r="AN55" s="1069"/>
      <c r="AO55" s="1069"/>
      <c r="AP55" s="1069"/>
      <c r="AQ55" s="1069"/>
      <c r="AR55" s="1069"/>
      <c r="AS55" s="1069"/>
      <c r="AT55" s="1069"/>
      <c r="AU55" s="1069"/>
      <c r="AV55" s="1069"/>
      <c r="AW55" s="1069"/>
      <c r="AX55" s="1069"/>
      <c r="AY55" s="1069"/>
      <c r="AZ55" s="1069"/>
      <c r="BA55" s="1069"/>
      <c r="BB55" s="1069"/>
      <c r="BC55" s="1069"/>
      <c r="BD55" s="1069"/>
      <c r="BE55" s="1069"/>
      <c r="BF55" s="1069"/>
      <c r="BG55" s="1069"/>
    </row>
    <row r="56" spans="15:60" ht="3.75" customHeight="1" thickTop="1">
      <c r="P56" s="554"/>
      <c r="Q56" s="555"/>
      <c r="R56" s="555"/>
      <c r="S56" s="555"/>
      <c r="T56" s="555"/>
      <c r="U56" s="555"/>
      <c r="V56" s="556"/>
      <c r="W56" s="556"/>
      <c r="X56" s="556"/>
      <c r="Y56" s="557"/>
      <c r="AB56" s="1267" t="s">
        <v>585</v>
      </c>
      <c r="AC56" s="1268"/>
      <c r="AD56" s="1268"/>
      <c r="AE56" s="1268"/>
      <c r="AF56" s="1268"/>
      <c r="AG56" s="1268"/>
      <c r="AH56" s="1268"/>
      <c r="AI56" s="1268"/>
      <c r="AJ56" s="1268"/>
      <c r="AK56" s="1268"/>
      <c r="AL56" s="1268"/>
      <c r="AM56" s="1268"/>
      <c r="AN56" s="1268"/>
      <c r="AO56" s="1268"/>
      <c r="AP56" s="1268"/>
      <c r="AQ56" s="1268"/>
      <c r="AR56" s="1269"/>
      <c r="AS56" s="1256" t="s">
        <v>337</v>
      </c>
      <c r="AT56" s="1256" t="s">
        <v>586</v>
      </c>
      <c r="AU56" s="1256" t="s">
        <v>587</v>
      </c>
      <c r="AV56" s="1256" t="s">
        <v>588</v>
      </c>
      <c r="AW56" s="1256" t="s">
        <v>589</v>
      </c>
      <c r="AX56" s="1256" t="s">
        <v>590</v>
      </c>
      <c r="AY56" s="1256" t="s">
        <v>591</v>
      </c>
      <c r="AZ56" s="1256" t="s">
        <v>592</v>
      </c>
      <c r="BA56" s="1256" t="s">
        <v>593</v>
      </c>
      <c r="BB56" s="1256" t="s">
        <v>594</v>
      </c>
      <c r="BC56" s="1256" t="s">
        <v>595</v>
      </c>
      <c r="BD56" s="1256" t="s">
        <v>596</v>
      </c>
      <c r="BE56" s="1256" t="s">
        <v>597</v>
      </c>
      <c r="BF56" s="1256" t="s">
        <v>598</v>
      </c>
      <c r="BG56" s="1263" t="s">
        <v>599</v>
      </c>
      <c r="BH56" s="1068"/>
    </row>
    <row r="57" spans="15:60" ht="18.75" customHeight="1">
      <c r="P57" s="554"/>
      <c r="Q57" s="555"/>
      <c r="R57" s="555"/>
      <c r="S57" s="555"/>
      <c r="T57" s="555"/>
      <c r="U57" s="555"/>
      <c r="V57" s="605" t="s">
        <v>573</v>
      </c>
      <c r="W57" s="1291">
        <v>0</v>
      </c>
      <c r="X57" s="1293"/>
      <c r="Y57" s="557"/>
      <c r="Z57" s="1066"/>
      <c r="AB57" s="1267"/>
      <c r="AC57" s="1268"/>
      <c r="AD57" s="1268"/>
      <c r="AE57" s="1268"/>
      <c r="AF57" s="1268"/>
      <c r="AG57" s="1268"/>
      <c r="AH57" s="1268"/>
      <c r="AI57" s="1268"/>
      <c r="AJ57" s="1268"/>
      <c r="AK57" s="1268"/>
      <c r="AL57" s="1268"/>
      <c r="AM57" s="1268"/>
      <c r="AN57" s="1268"/>
      <c r="AO57" s="1268"/>
      <c r="AP57" s="1268"/>
      <c r="AQ57" s="1268"/>
      <c r="AR57" s="1269"/>
      <c r="AS57" s="1256"/>
      <c r="AT57" s="1256"/>
      <c r="AU57" s="1256"/>
      <c r="AV57" s="1256"/>
      <c r="AW57" s="1256"/>
      <c r="AX57" s="1256"/>
      <c r="AY57" s="1256"/>
      <c r="AZ57" s="1256"/>
      <c r="BA57" s="1256"/>
      <c r="BB57" s="1256"/>
      <c r="BC57" s="1256"/>
      <c r="BD57" s="1256"/>
      <c r="BE57" s="1256"/>
      <c r="BF57" s="1256"/>
      <c r="BG57" s="1263"/>
      <c r="BH57" s="1068"/>
    </row>
    <row r="58" spans="15:60" ht="3.75" customHeight="1">
      <c r="P58" s="592"/>
      <c r="Q58" s="593"/>
      <c r="R58" s="593"/>
      <c r="S58" s="593"/>
      <c r="T58" s="593"/>
      <c r="U58" s="593"/>
      <c r="V58" s="593"/>
      <c r="W58" s="593"/>
      <c r="X58" s="593"/>
      <c r="Y58" s="606"/>
      <c r="Z58" s="1066"/>
      <c r="AB58" s="1267"/>
      <c r="AC58" s="1268"/>
      <c r="AD58" s="1268"/>
      <c r="AE58" s="1268"/>
      <c r="AF58" s="1268"/>
      <c r="AG58" s="1268"/>
      <c r="AH58" s="1268"/>
      <c r="AI58" s="1268"/>
      <c r="AJ58" s="1268"/>
      <c r="AK58" s="1268"/>
      <c r="AL58" s="1268"/>
      <c r="AM58" s="1268"/>
      <c r="AN58" s="1268"/>
      <c r="AO58" s="1268"/>
      <c r="AP58" s="1268"/>
      <c r="AQ58" s="1268"/>
      <c r="AR58" s="1269"/>
      <c r="AS58" s="1256"/>
      <c r="AT58" s="1256"/>
      <c r="AU58" s="1256"/>
      <c r="AV58" s="1256"/>
      <c r="AW58" s="1256"/>
      <c r="AX58" s="1256"/>
      <c r="AY58" s="1256"/>
      <c r="AZ58" s="1256"/>
      <c r="BA58" s="1256"/>
      <c r="BB58" s="1256"/>
      <c r="BC58" s="1256"/>
      <c r="BD58" s="1256"/>
      <c r="BE58" s="1256"/>
      <c r="BF58" s="1256"/>
      <c r="BG58" s="1263"/>
      <c r="BH58" s="1068"/>
    </row>
    <row r="59" spans="15:60" ht="7.5" customHeight="1">
      <c r="O59" s="662"/>
      <c r="P59" s="662"/>
      <c r="Q59" s="662"/>
      <c r="R59" s="662"/>
      <c r="S59" s="662"/>
      <c r="T59" s="662"/>
      <c r="U59" s="662"/>
      <c r="V59" s="662"/>
      <c r="W59" s="662"/>
      <c r="X59" s="662"/>
      <c r="Y59" s="662"/>
      <c r="Z59" s="1067"/>
      <c r="AA59" s="662"/>
      <c r="AB59" s="1340" t="s">
        <v>1177</v>
      </c>
      <c r="AC59" s="1340"/>
      <c r="AD59" s="1340"/>
      <c r="AE59" s="1340"/>
      <c r="AF59" s="1340"/>
      <c r="AG59" s="1340"/>
      <c r="AH59" s="1340"/>
      <c r="AI59" s="1340"/>
      <c r="AJ59" s="1340"/>
      <c r="AK59" s="1340"/>
      <c r="AL59" s="1340"/>
      <c r="AM59" s="1340"/>
      <c r="AN59" s="1340"/>
      <c r="AO59" s="1340"/>
      <c r="AP59" s="1340"/>
      <c r="AQ59" s="1340"/>
      <c r="AR59" s="1341"/>
      <c r="AS59" s="1254">
        <f>'Age Pension additional calcs'!D14</f>
        <v>2308.3619178082195</v>
      </c>
      <c r="AT59" s="1254">
        <f>'Age Pension additional calcs'!D15</f>
        <v>1910.5560975609756</v>
      </c>
      <c r="AU59" s="1254">
        <f>'Age Pension additional calcs'!D16</f>
        <v>5534.8400951814401</v>
      </c>
      <c r="AV59" s="1254">
        <f>'Age Pension additional calcs'!D17</f>
        <v>10085.043995298969</v>
      </c>
      <c r="AW59" s="1254">
        <f>'Age Pension additional calcs'!D18</f>
        <v>14362.559995413627</v>
      </c>
      <c r="AX59" s="1254">
        <f>'Age Pension additional calcs'!D19</f>
        <v>18367.380483330366</v>
      </c>
      <c r="AY59" s="1254">
        <f>'Age Pension additional calcs'!D20</f>
        <v>22099.498032517433</v>
      </c>
      <c r="AZ59" s="1254">
        <f>'Age Pension additional calcs'!D21</f>
        <v>25597.905397577983</v>
      </c>
      <c r="BA59" s="1254">
        <f>'Age Pension additional calcs'!D22</f>
        <v>28862.595509832179</v>
      </c>
      <c r="BB59" s="1254">
        <f>'Age Pension additional calcs'!D23</f>
        <v>31893.561473007001</v>
      </c>
      <c r="BC59" s="1254">
        <f>'Age Pension additional calcs'!D24</f>
        <v>32832.084506937113</v>
      </c>
      <c r="BD59" s="1254">
        <f>'Age Pension additional calcs'!D25</f>
        <v>33382.352933597183</v>
      </c>
      <c r="BE59" s="1254">
        <f>'Age Pension additional calcs'!D26</f>
        <v>33926.88920350944</v>
      </c>
      <c r="BF59" s="1254">
        <f>'Age Pension additional calcs'!D27</f>
        <v>34231.051711060463</v>
      </c>
      <c r="BG59" s="1259">
        <f>'Age Pension additional calcs'!D28</f>
        <v>34221.299230302888</v>
      </c>
      <c r="BH59" s="1068"/>
    </row>
    <row r="60" spans="15:60" ht="21" customHeight="1">
      <c r="O60" s="662"/>
      <c r="P60" s="1086" t="s">
        <v>179</v>
      </c>
      <c r="Q60" s="1087"/>
      <c r="R60" s="1087"/>
      <c r="S60" s="1087"/>
      <c r="T60" s="1087"/>
      <c r="U60" s="1087"/>
      <c r="V60" s="1087"/>
      <c r="W60" s="1087"/>
      <c r="X60" s="1087"/>
      <c r="Y60" s="1088"/>
      <c r="Z60" s="1067"/>
      <c r="AA60" s="662"/>
      <c r="AB60" s="1342"/>
      <c r="AC60" s="1342"/>
      <c r="AD60" s="1342"/>
      <c r="AE60" s="1342"/>
      <c r="AF60" s="1342"/>
      <c r="AG60" s="1342"/>
      <c r="AH60" s="1342"/>
      <c r="AI60" s="1342"/>
      <c r="AJ60" s="1342"/>
      <c r="AK60" s="1342"/>
      <c r="AL60" s="1342"/>
      <c r="AM60" s="1342"/>
      <c r="AN60" s="1342"/>
      <c r="AO60" s="1342"/>
      <c r="AP60" s="1342"/>
      <c r="AQ60" s="1342"/>
      <c r="AR60" s="1343"/>
      <c r="AS60" s="1255"/>
      <c r="AT60" s="1255"/>
      <c r="AU60" s="1255"/>
      <c r="AV60" s="1255"/>
      <c r="AW60" s="1255"/>
      <c r="AX60" s="1255"/>
      <c r="AY60" s="1255"/>
      <c r="AZ60" s="1255"/>
      <c r="BA60" s="1255"/>
      <c r="BB60" s="1255"/>
      <c r="BC60" s="1255"/>
      <c r="BD60" s="1255"/>
      <c r="BE60" s="1255"/>
      <c r="BF60" s="1255"/>
      <c r="BG60" s="1260"/>
      <c r="BH60" s="1068"/>
    </row>
    <row r="61" spans="15:60" ht="3.75" customHeight="1">
      <c r="O61" s="662"/>
      <c r="P61" s="663"/>
      <c r="Q61" s="664"/>
      <c r="R61" s="664"/>
      <c r="S61" s="664"/>
      <c r="T61" s="664"/>
      <c r="U61" s="664"/>
      <c r="V61" s="665"/>
      <c r="W61" s="665"/>
      <c r="X61" s="665"/>
      <c r="Y61" s="666"/>
      <c r="Z61" s="1067"/>
      <c r="AA61" s="662"/>
      <c r="AB61" s="1336" t="s">
        <v>1178</v>
      </c>
      <c r="AC61" s="1336"/>
      <c r="AD61" s="1336"/>
      <c r="AE61" s="1336"/>
      <c r="AF61" s="1336"/>
      <c r="AG61" s="1336"/>
      <c r="AH61" s="1336"/>
      <c r="AI61" s="1336"/>
      <c r="AJ61" s="1336"/>
      <c r="AK61" s="1336"/>
      <c r="AL61" s="1336"/>
      <c r="AM61" s="1336"/>
      <c r="AN61" s="1336"/>
      <c r="AO61" s="1336"/>
      <c r="AP61" s="1336"/>
      <c r="AQ61" s="1336"/>
      <c r="AR61" s="1337"/>
      <c r="AS61" s="1257">
        <f>'Age Pension additional calcs'!C14</f>
        <v>2308.3619178082195</v>
      </c>
      <c r="AT61" s="1257">
        <f>'Age Pension additional calcs'!C15</f>
        <v>1910.5560975609756</v>
      </c>
      <c r="AU61" s="1257">
        <f>'Age Pension additional calcs'!C16</f>
        <v>6470.8400951814401</v>
      </c>
      <c r="AV61" s="1257">
        <f>'Age Pension additional calcs'!C17</f>
        <v>11411.043995298969</v>
      </c>
      <c r="AW61" s="1257">
        <f>'Age Pension additional calcs'!C18</f>
        <v>16039.559995413627</v>
      </c>
      <c r="AX61" s="1257">
        <f>'Age Pension additional calcs'!C19</f>
        <v>20356.380483330366</v>
      </c>
      <c r="AY61" s="1257">
        <f>'Age Pension additional calcs'!C20</f>
        <v>24244.498032517433</v>
      </c>
      <c r="AZ61" s="1257">
        <f>'Age Pension additional calcs'!C21</f>
        <v>27859.905397577983</v>
      </c>
      <c r="BA61" s="1257">
        <f>'Age Pension additional calcs'!C22</f>
        <v>31202.595509832179</v>
      </c>
      <c r="BB61" s="1257">
        <f>'Age Pension additional calcs'!C23</f>
        <v>33924.685354543428</v>
      </c>
      <c r="BC61" s="1257">
        <f>'Age Pension additional calcs'!C24</f>
        <v>34261.796559031223</v>
      </c>
      <c r="BD61" s="1257">
        <f>'Age Pension additional calcs'!C25</f>
        <v>34251.294203932899</v>
      </c>
      <c r="BE61" s="1257">
        <f>'Age Pension additional calcs'!C26</f>
        <v>34241.048003836971</v>
      </c>
      <c r="BF61" s="1257">
        <f>'Age Pension additional calcs'!C27</f>
        <v>34231.051711060463</v>
      </c>
      <c r="BG61" s="1261">
        <f>'Age Pension additional calcs'!C28</f>
        <v>34221.299230302888</v>
      </c>
      <c r="BH61" s="1068"/>
    </row>
    <row r="62" spans="15:60" ht="18.75" customHeight="1">
      <c r="O62" s="662"/>
      <c r="P62" s="667" t="s">
        <v>874</v>
      </c>
      <c r="Q62" s="664"/>
      <c r="R62" s="664"/>
      <c r="S62" s="664"/>
      <c r="T62" s="664"/>
      <c r="U62" s="664"/>
      <c r="V62" s="1291">
        <v>0</v>
      </c>
      <c r="W62" s="1292"/>
      <c r="X62" s="1293"/>
      <c r="Y62" s="666"/>
      <c r="Z62" s="1067"/>
      <c r="AA62" s="662"/>
      <c r="AB62" s="1336"/>
      <c r="AC62" s="1336"/>
      <c r="AD62" s="1336"/>
      <c r="AE62" s="1336"/>
      <c r="AF62" s="1336"/>
      <c r="AG62" s="1336"/>
      <c r="AH62" s="1336"/>
      <c r="AI62" s="1336"/>
      <c r="AJ62" s="1336"/>
      <c r="AK62" s="1336"/>
      <c r="AL62" s="1336"/>
      <c r="AM62" s="1336"/>
      <c r="AN62" s="1336"/>
      <c r="AO62" s="1336"/>
      <c r="AP62" s="1336"/>
      <c r="AQ62" s="1336"/>
      <c r="AR62" s="1337"/>
      <c r="AS62" s="1257"/>
      <c r="AT62" s="1257"/>
      <c r="AU62" s="1257"/>
      <c r="AV62" s="1257"/>
      <c r="AW62" s="1257"/>
      <c r="AX62" s="1257"/>
      <c r="AY62" s="1257"/>
      <c r="AZ62" s="1257"/>
      <c r="BA62" s="1257"/>
      <c r="BB62" s="1257"/>
      <c r="BC62" s="1257"/>
      <c r="BD62" s="1257"/>
      <c r="BE62" s="1257"/>
      <c r="BF62" s="1257"/>
      <c r="BG62" s="1261"/>
      <c r="BH62" s="1068"/>
    </row>
    <row r="63" spans="15:60" ht="3.75" customHeight="1">
      <c r="O63" s="662"/>
      <c r="P63" s="668"/>
      <c r="Q63" s="669"/>
      <c r="R63" s="669"/>
      <c r="S63" s="669"/>
      <c r="T63" s="669"/>
      <c r="U63" s="669"/>
      <c r="V63" s="670"/>
      <c r="W63" s="670">
        <v>0</v>
      </c>
      <c r="X63" s="670"/>
      <c r="Y63" s="671"/>
      <c r="Z63" s="1067"/>
      <c r="AA63" s="662"/>
      <c r="AB63" s="1336"/>
      <c r="AC63" s="1336"/>
      <c r="AD63" s="1336"/>
      <c r="AE63" s="1336"/>
      <c r="AF63" s="1336"/>
      <c r="AG63" s="1336"/>
      <c r="AH63" s="1336"/>
      <c r="AI63" s="1336"/>
      <c r="AJ63" s="1336"/>
      <c r="AK63" s="1336"/>
      <c r="AL63" s="1336"/>
      <c r="AM63" s="1336"/>
      <c r="AN63" s="1336"/>
      <c r="AO63" s="1336"/>
      <c r="AP63" s="1336"/>
      <c r="AQ63" s="1336"/>
      <c r="AR63" s="1337"/>
      <c r="AS63" s="1257"/>
      <c r="AT63" s="1257"/>
      <c r="AU63" s="1257"/>
      <c r="AV63" s="1257"/>
      <c r="AW63" s="1257"/>
      <c r="AX63" s="1257"/>
      <c r="AY63" s="1257"/>
      <c r="AZ63" s="1257"/>
      <c r="BA63" s="1257"/>
      <c r="BB63" s="1257"/>
      <c r="BC63" s="1257"/>
      <c r="BD63" s="1257"/>
      <c r="BE63" s="1257"/>
      <c r="BF63" s="1257"/>
      <c r="BG63" s="1261"/>
      <c r="BH63" s="1068"/>
    </row>
    <row r="64" spans="15:60" ht="7.5" customHeight="1">
      <c r="O64" s="662"/>
      <c r="P64" s="662"/>
      <c r="Q64" s="662"/>
      <c r="R64" s="662"/>
      <c r="S64" s="662"/>
      <c r="T64" s="662"/>
      <c r="U64" s="662"/>
      <c r="V64" s="662"/>
      <c r="W64" s="662"/>
      <c r="X64" s="662"/>
      <c r="Y64" s="662"/>
      <c r="Z64" s="1067"/>
      <c r="AA64" s="662"/>
      <c r="AB64" s="1338"/>
      <c r="AC64" s="1338"/>
      <c r="AD64" s="1338"/>
      <c r="AE64" s="1338"/>
      <c r="AF64" s="1338"/>
      <c r="AG64" s="1338"/>
      <c r="AH64" s="1338"/>
      <c r="AI64" s="1338"/>
      <c r="AJ64" s="1338"/>
      <c r="AK64" s="1338"/>
      <c r="AL64" s="1338"/>
      <c r="AM64" s="1338"/>
      <c r="AN64" s="1338"/>
      <c r="AO64" s="1338"/>
      <c r="AP64" s="1338"/>
      <c r="AQ64" s="1338"/>
      <c r="AR64" s="1339"/>
      <c r="AS64" s="1258"/>
      <c r="AT64" s="1258"/>
      <c r="AU64" s="1258"/>
      <c r="AV64" s="1258"/>
      <c r="AW64" s="1258"/>
      <c r="AX64" s="1258"/>
      <c r="AY64" s="1258"/>
      <c r="AZ64" s="1258"/>
      <c r="BA64" s="1258"/>
      <c r="BB64" s="1258"/>
      <c r="BC64" s="1258"/>
      <c r="BD64" s="1258"/>
      <c r="BE64" s="1258"/>
      <c r="BF64" s="1258"/>
      <c r="BG64" s="1262"/>
      <c r="BH64" s="1068"/>
    </row>
    <row r="65" spans="15:76" ht="23.25" customHeight="1">
      <c r="O65" s="662"/>
      <c r="P65" s="1086" t="s">
        <v>571</v>
      </c>
      <c r="Q65" s="1087"/>
      <c r="R65" s="1087"/>
      <c r="S65" s="1087"/>
      <c r="T65" s="1087"/>
      <c r="U65" s="1087"/>
      <c r="V65" s="1087"/>
      <c r="W65" s="1087"/>
      <c r="X65" s="1087"/>
      <c r="Y65" s="1088"/>
      <c r="Z65" s="1067"/>
      <c r="AA65" s="662"/>
      <c r="AB65" s="1317" t="s">
        <v>1224</v>
      </c>
      <c r="AC65" s="1317"/>
      <c r="AD65" s="1317"/>
      <c r="AE65" s="1317"/>
      <c r="AF65" s="1317"/>
      <c r="AG65" s="1317"/>
      <c r="AH65" s="1317"/>
      <c r="AI65" s="1317"/>
      <c r="AJ65" s="1317"/>
      <c r="AK65" s="1317"/>
      <c r="AL65" s="1317"/>
      <c r="AM65" s="1317"/>
      <c r="AN65" s="1317"/>
      <c r="AO65" s="1317"/>
      <c r="AP65" s="1317"/>
      <c r="AQ65" s="1317"/>
      <c r="AR65" s="1318"/>
      <c r="AS65" s="1282">
        <f t="shared" ref="AS65:BG65" si="0">AS61-AS59</f>
        <v>0</v>
      </c>
      <c r="AT65" s="1281">
        <f t="shared" si="0"/>
        <v>0</v>
      </c>
      <c r="AU65" s="1281">
        <f t="shared" si="0"/>
        <v>936</v>
      </c>
      <c r="AV65" s="1281">
        <f t="shared" si="0"/>
        <v>1326</v>
      </c>
      <c r="AW65" s="1281">
        <f t="shared" si="0"/>
        <v>1677</v>
      </c>
      <c r="AX65" s="1281">
        <f t="shared" si="0"/>
        <v>1989</v>
      </c>
      <c r="AY65" s="1281">
        <f t="shared" si="0"/>
        <v>2145</v>
      </c>
      <c r="AZ65" s="1281">
        <f t="shared" si="0"/>
        <v>2262</v>
      </c>
      <c r="BA65" s="1281">
        <f t="shared" si="0"/>
        <v>2340</v>
      </c>
      <c r="BB65" s="1281">
        <f t="shared" si="0"/>
        <v>2031.1238815364268</v>
      </c>
      <c r="BC65" s="1281">
        <f t="shared" si="0"/>
        <v>1429.7120520941098</v>
      </c>
      <c r="BD65" s="1281">
        <f t="shared" si="0"/>
        <v>868.94127033571567</v>
      </c>
      <c r="BE65" s="1281">
        <f t="shared" si="0"/>
        <v>314.15880032753194</v>
      </c>
      <c r="BF65" s="1281">
        <f t="shared" si="0"/>
        <v>0</v>
      </c>
      <c r="BG65" s="1311">
        <f t="shared" si="0"/>
        <v>0</v>
      </c>
      <c r="BH65" s="1068"/>
    </row>
    <row r="66" spans="15:76" ht="3.75" customHeight="1">
      <c r="O66" s="662"/>
      <c r="P66" s="663"/>
      <c r="Q66" s="664"/>
      <c r="R66" s="664"/>
      <c r="S66" s="664"/>
      <c r="T66" s="664"/>
      <c r="U66" s="664"/>
      <c r="V66" s="665"/>
      <c r="W66" s="665"/>
      <c r="X66" s="665"/>
      <c r="Y66" s="666"/>
      <c r="Z66" s="1067"/>
      <c r="AA66" s="662"/>
      <c r="AB66" s="1317"/>
      <c r="AC66" s="1317"/>
      <c r="AD66" s="1317"/>
      <c r="AE66" s="1317"/>
      <c r="AF66" s="1317"/>
      <c r="AG66" s="1317"/>
      <c r="AH66" s="1317"/>
      <c r="AI66" s="1317"/>
      <c r="AJ66" s="1317"/>
      <c r="AK66" s="1317"/>
      <c r="AL66" s="1317"/>
      <c r="AM66" s="1317"/>
      <c r="AN66" s="1317"/>
      <c r="AO66" s="1317"/>
      <c r="AP66" s="1317"/>
      <c r="AQ66" s="1317"/>
      <c r="AR66" s="1318"/>
      <c r="AS66" s="1282"/>
      <c r="AT66" s="1281"/>
      <c r="AU66" s="1281"/>
      <c r="AV66" s="1281"/>
      <c r="AW66" s="1281"/>
      <c r="AX66" s="1281"/>
      <c r="AY66" s="1281"/>
      <c r="AZ66" s="1281"/>
      <c r="BA66" s="1281"/>
      <c r="BB66" s="1281"/>
      <c r="BC66" s="1281"/>
      <c r="BD66" s="1281"/>
      <c r="BE66" s="1281"/>
      <c r="BF66" s="1281"/>
      <c r="BG66" s="1311"/>
      <c r="BH66" s="1068"/>
    </row>
    <row r="67" spans="15:76" ht="18.75" customHeight="1">
      <c r="O67" s="662"/>
      <c r="P67" s="667" t="s">
        <v>22</v>
      </c>
      <c r="Q67" s="664"/>
      <c r="R67" s="664"/>
      <c r="S67" s="664"/>
      <c r="T67" s="664"/>
      <c r="U67" s="664"/>
      <c r="V67" s="1291">
        <v>0</v>
      </c>
      <c r="W67" s="1292"/>
      <c r="X67" s="1293"/>
      <c r="Y67" s="666"/>
      <c r="Z67" s="1067"/>
      <c r="AA67" s="662"/>
      <c r="AB67" s="1317"/>
      <c r="AC67" s="1317"/>
      <c r="AD67" s="1317"/>
      <c r="AE67" s="1317"/>
      <c r="AF67" s="1317"/>
      <c r="AG67" s="1317"/>
      <c r="AH67" s="1317"/>
      <c r="AI67" s="1317"/>
      <c r="AJ67" s="1317"/>
      <c r="AK67" s="1317"/>
      <c r="AL67" s="1317"/>
      <c r="AM67" s="1317"/>
      <c r="AN67" s="1317"/>
      <c r="AO67" s="1317"/>
      <c r="AP67" s="1317"/>
      <c r="AQ67" s="1317"/>
      <c r="AR67" s="1318"/>
      <c r="AS67" s="1286">
        <f t="shared" ref="AS67:BG67" si="1">IF(AS65=0,0,IF(AS59=0,"Big",AS65/AS59))</f>
        <v>0</v>
      </c>
      <c r="AT67" s="1279">
        <f t="shared" si="1"/>
        <v>0</v>
      </c>
      <c r="AU67" s="1279">
        <f t="shared" si="1"/>
        <v>0.16911057662078971</v>
      </c>
      <c r="AV67" s="1279">
        <f t="shared" si="1"/>
        <v>0.13148182602060041</v>
      </c>
      <c r="AW67" s="1279">
        <f t="shared" si="1"/>
        <v>0.11676191434782614</v>
      </c>
      <c r="AX67" s="1279">
        <f t="shared" si="1"/>
        <v>0.10828980222874739</v>
      </c>
      <c r="AY67" s="1279">
        <f t="shared" si="1"/>
        <v>9.7061028121264312E-2</v>
      </c>
      <c r="AZ67" s="1279">
        <f t="shared" si="1"/>
        <v>8.8366605191611713E-2</v>
      </c>
      <c r="BA67" s="1279">
        <f t="shared" si="1"/>
        <v>8.107378974988122E-2</v>
      </c>
      <c r="BB67" s="1279">
        <f t="shared" si="1"/>
        <v>6.3684448764226631E-2</v>
      </c>
      <c r="BC67" s="1279">
        <f t="shared" si="1"/>
        <v>4.3546185798590549E-2</v>
      </c>
      <c r="BD67" s="1279">
        <f t="shared" si="1"/>
        <v>2.6029958764865323E-2</v>
      </c>
      <c r="BE67" s="1279">
        <f t="shared" si="1"/>
        <v>9.2598763901712202E-3</v>
      </c>
      <c r="BF67" s="1279">
        <f t="shared" si="1"/>
        <v>0</v>
      </c>
      <c r="BG67" s="1309">
        <f t="shared" si="1"/>
        <v>0</v>
      </c>
      <c r="BH67" s="1068"/>
    </row>
    <row r="68" spans="15:76" ht="3.75" customHeight="1" thickBot="1">
      <c r="O68" s="662"/>
      <c r="P68" s="663"/>
      <c r="Q68" s="664"/>
      <c r="R68" s="664"/>
      <c r="S68" s="664"/>
      <c r="T68" s="664"/>
      <c r="U68" s="664"/>
      <c r="V68" s="665"/>
      <c r="W68" s="665"/>
      <c r="X68" s="665"/>
      <c r="Y68" s="666"/>
      <c r="Z68" s="1067"/>
      <c r="AA68" s="662"/>
      <c r="AB68" s="1319"/>
      <c r="AC68" s="1319"/>
      <c r="AD68" s="1319"/>
      <c r="AE68" s="1319"/>
      <c r="AF68" s="1319"/>
      <c r="AG68" s="1319"/>
      <c r="AH68" s="1319"/>
      <c r="AI68" s="1319"/>
      <c r="AJ68" s="1319"/>
      <c r="AK68" s="1319"/>
      <c r="AL68" s="1319"/>
      <c r="AM68" s="1319"/>
      <c r="AN68" s="1319"/>
      <c r="AO68" s="1319"/>
      <c r="AP68" s="1319"/>
      <c r="AQ68" s="1319"/>
      <c r="AR68" s="1320"/>
      <c r="AS68" s="1287"/>
      <c r="AT68" s="1280"/>
      <c r="AU68" s="1280"/>
      <c r="AV68" s="1280"/>
      <c r="AW68" s="1280"/>
      <c r="AX68" s="1280"/>
      <c r="AY68" s="1280"/>
      <c r="AZ68" s="1280"/>
      <c r="BA68" s="1280"/>
      <c r="BB68" s="1280"/>
      <c r="BC68" s="1280"/>
      <c r="BD68" s="1280"/>
      <c r="BE68" s="1280"/>
      <c r="BF68" s="1280"/>
      <c r="BG68" s="1310"/>
      <c r="BH68" s="1068"/>
    </row>
    <row r="69" spans="15:76" ht="18.75" customHeight="1" thickTop="1">
      <c r="O69" s="662"/>
      <c r="P69" s="663"/>
      <c r="Q69" s="664"/>
      <c r="R69" s="664"/>
      <c r="S69" s="664"/>
      <c r="T69" s="664"/>
      <c r="U69" s="664"/>
      <c r="V69" s="664"/>
      <c r="W69" s="672" t="s">
        <v>572</v>
      </c>
      <c r="X69" s="610">
        <v>1</v>
      </c>
      <c r="Y69" s="666"/>
      <c r="Z69" s="1067"/>
      <c r="AA69" s="662"/>
      <c r="AB69" s="1288" t="s">
        <v>647</v>
      </c>
      <c r="AC69" s="1288"/>
      <c r="AD69" s="1288"/>
      <c r="AE69" s="1288"/>
      <c r="AF69" s="1288"/>
      <c r="AG69" s="1288"/>
      <c r="AH69" s="1288"/>
      <c r="AI69" s="1288"/>
      <c r="AJ69" s="1288"/>
      <c r="AK69" s="1288"/>
      <c r="AL69" s="1288"/>
      <c r="AM69" s="1288"/>
      <c r="AN69" s="1288"/>
      <c r="AO69" s="1288"/>
      <c r="AP69" s="1288"/>
      <c r="AQ69" s="1288"/>
      <c r="AR69" s="1288"/>
      <c r="AS69" s="1283">
        <f>IF(AND('Admin Settings'!E25=0,'Admin Settings'!E26=0,V49=0),0,AS65+'Deterministic Output'!B3)</f>
        <v>8750.07</v>
      </c>
      <c r="AT69" s="1276">
        <f>IF(AND('Admin Settings'!E25=0,'Admin Settings'!E26=0,V49=0),0,AT65+'Deterministic Output'!B4)</f>
        <v>8536.6536585365866</v>
      </c>
      <c r="AU69" s="1276">
        <f>IF(AND('Admin Settings'!E25=0,'Admin Settings'!E26=0,V49=0),0,AU65+'Deterministic Output'!B5)</f>
        <v>9264.4425936942298</v>
      </c>
      <c r="AV69" s="1276">
        <f>IF(AND('Admin Settings'!E25=0,'Admin Settings'!E26=0,V49=0),0,AV65+'Deterministic Output'!B6)</f>
        <v>9451.3098475065653</v>
      </c>
      <c r="AW69" s="1276">
        <f>IF(AND('Admin Settings'!E25=0,'Admin Settings'!E26=0,V49=0),0,AW65+'Deterministic Output'!B7)</f>
        <v>9604.1315585429911</v>
      </c>
      <c r="AX69" s="1276">
        <f>IF(AND('Admin Settings'!E25=0,'Admin Settings'!E26=0,V49=0),0,AX65+'Deterministic Output'!B8)</f>
        <v>9722.7868863834046</v>
      </c>
      <c r="AY69" s="1276">
        <f>IF(AND('Admin Settings'!E25=0,'Admin Settings'!E26=0,V49=0),0,AY65+'Deterministic Output'!B9)</f>
        <v>9690.1579379350296</v>
      </c>
      <c r="AZ69" s="1276">
        <f>IF(AND('Admin Settings'!E25=0,'Admin Settings'!E26=0,V49=0),0,AZ65+'Deterministic Output'!B10)</f>
        <v>9623.1296955463695</v>
      </c>
      <c r="BA69" s="1276">
        <f>IF(AND('Admin Settings'!E25=0,'Admin Settings'!E26=0,V49=0),0,BA65+'Deterministic Output'!B11)</f>
        <v>9521.5899468745083</v>
      </c>
      <c r="BB69" s="1276">
        <f>IF(AND('Admin Settings'!E25=0,'Admin Settings'!E26=0,V49=0),0,BB65+'Deterministic Output'!B12)</f>
        <v>9037.5530979993619</v>
      </c>
      <c r="BC69" s="1276">
        <f>IF(AND('Admin Settings'!E25=0,'Admin Settings'!E26=0,V49=0),0,BC65+'Deterministic Output'!B13)</f>
        <v>8265.2527510823384</v>
      </c>
      <c r="BD69" s="1276">
        <f>IF(AND('Admin Settings'!E25=0,'Admin Settings'!E26=0,V49=0),0,BD65+'Deterministic Output'!B14)</f>
        <v>7537.7614644705736</v>
      </c>
      <c r="BE69" s="1276">
        <f>IF(AND('Admin Settings'!E25=0,'Admin Settings'!E26=0,V49=0),0,BE65+'Deterministic Output'!B15)</f>
        <v>6820.3248433859299</v>
      </c>
      <c r="BF69" s="1276">
        <f>IF(AND('Admin Settings'!E25=0,'Admin Settings'!E26=0,V49=0),0,BF65+'Deterministic Output'!B16)</f>
        <v>6347.4790663984368</v>
      </c>
      <c r="BG69" s="1312">
        <f>IF(AND('Admin Settings'!E25=0,'Admin Settings'!E26=0,V49=0),0,BG65+'Deterministic Output'!B17)</f>
        <v>6192.6625038033526</v>
      </c>
      <c r="BH69" s="1068"/>
    </row>
    <row r="70" spans="15:76" ht="3.75" customHeight="1" thickBot="1">
      <c r="O70" s="662"/>
      <c r="P70" s="673"/>
      <c r="Q70" s="674"/>
      <c r="R70" s="674"/>
      <c r="S70" s="674"/>
      <c r="T70" s="674"/>
      <c r="U70" s="674"/>
      <c r="V70" s="675"/>
      <c r="W70" s="675"/>
      <c r="X70" s="675"/>
      <c r="Y70" s="676"/>
      <c r="Z70" s="1067"/>
      <c r="AA70" s="662"/>
      <c r="AB70" s="1289"/>
      <c r="AC70" s="1289"/>
      <c r="AD70" s="1289"/>
      <c r="AE70" s="1289"/>
      <c r="AF70" s="1289"/>
      <c r="AG70" s="1289"/>
      <c r="AH70" s="1289"/>
      <c r="AI70" s="1289"/>
      <c r="AJ70" s="1289"/>
      <c r="AK70" s="1289"/>
      <c r="AL70" s="1289"/>
      <c r="AM70" s="1289"/>
      <c r="AN70" s="1289"/>
      <c r="AO70" s="1289"/>
      <c r="AP70" s="1289"/>
      <c r="AQ70" s="1289"/>
      <c r="AR70" s="1289"/>
      <c r="AS70" s="1284"/>
      <c r="AT70" s="1277"/>
      <c r="AU70" s="1277"/>
      <c r="AV70" s="1277"/>
      <c r="AW70" s="1277"/>
      <c r="AX70" s="1277"/>
      <c r="AY70" s="1277"/>
      <c r="AZ70" s="1277"/>
      <c r="BA70" s="1277"/>
      <c r="BB70" s="1277"/>
      <c r="BC70" s="1277"/>
      <c r="BD70" s="1277"/>
      <c r="BE70" s="1277"/>
      <c r="BF70" s="1277"/>
      <c r="BG70" s="1313"/>
      <c r="BH70" s="1068"/>
    </row>
    <row r="71" spans="15:76" ht="3.75" customHeight="1" thickTop="1">
      <c r="O71" s="662"/>
      <c r="P71" s="677"/>
      <c r="Q71" s="678"/>
      <c r="R71" s="678"/>
      <c r="S71" s="678"/>
      <c r="T71" s="678"/>
      <c r="U71" s="678"/>
      <c r="V71" s="665"/>
      <c r="W71" s="665"/>
      <c r="X71" s="665"/>
      <c r="Y71" s="679"/>
      <c r="Z71" s="1067"/>
      <c r="AA71" s="662"/>
      <c r="AB71" s="1289"/>
      <c r="AC71" s="1289"/>
      <c r="AD71" s="1289"/>
      <c r="AE71" s="1289"/>
      <c r="AF71" s="1289"/>
      <c r="AG71" s="1289"/>
      <c r="AH71" s="1289"/>
      <c r="AI71" s="1289"/>
      <c r="AJ71" s="1289"/>
      <c r="AK71" s="1289"/>
      <c r="AL71" s="1289"/>
      <c r="AM71" s="1289"/>
      <c r="AN71" s="1289"/>
      <c r="AO71" s="1289"/>
      <c r="AP71" s="1289"/>
      <c r="AQ71" s="1289"/>
      <c r="AR71" s="1289"/>
      <c r="AS71" s="1285"/>
      <c r="AT71" s="1278"/>
      <c r="AU71" s="1278"/>
      <c r="AV71" s="1278"/>
      <c r="AW71" s="1278"/>
      <c r="AX71" s="1278"/>
      <c r="AY71" s="1278"/>
      <c r="AZ71" s="1278"/>
      <c r="BA71" s="1278"/>
      <c r="BB71" s="1278"/>
      <c r="BC71" s="1278"/>
      <c r="BD71" s="1278"/>
      <c r="BE71" s="1278"/>
      <c r="BF71" s="1278"/>
      <c r="BG71" s="1314"/>
      <c r="BH71" s="1068"/>
    </row>
    <row r="72" spans="15:76" ht="18.75" customHeight="1">
      <c r="O72" s="662"/>
      <c r="P72" s="667" t="s">
        <v>23</v>
      </c>
      <c r="Q72" s="664"/>
      <c r="R72" s="664"/>
      <c r="S72" s="664"/>
      <c r="T72" s="680" t="s">
        <v>579</v>
      </c>
      <c r="U72" s="664"/>
      <c r="V72" s="1291">
        <v>0</v>
      </c>
      <c r="W72" s="1292"/>
      <c r="X72" s="1293"/>
      <c r="Y72" s="666"/>
      <c r="Z72" s="1067"/>
      <c r="AA72" s="662"/>
      <c r="AB72" s="1289" t="s">
        <v>1179</v>
      </c>
      <c r="AC72" s="1289"/>
      <c r="AD72" s="1289"/>
      <c r="AE72" s="1289"/>
      <c r="AF72" s="1289"/>
      <c r="AG72" s="1289"/>
      <c r="AH72" s="1289"/>
      <c r="AI72" s="1289"/>
      <c r="AJ72" s="1289"/>
      <c r="AK72" s="1289"/>
      <c r="AL72" s="1289"/>
      <c r="AM72" s="1289"/>
      <c r="AN72" s="1289"/>
      <c r="AO72" s="1289"/>
      <c r="AP72" s="1289"/>
      <c r="AQ72" s="1289"/>
      <c r="AR72" s="1289"/>
      <c r="AS72" s="1284">
        <f>AS69</f>
        <v>8750.07</v>
      </c>
      <c r="AT72" s="1277">
        <f>AT69*((1+Settings!$J$63)^1)</f>
        <v>8750.07</v>
      </c>
      <c r="AU72" s="1277">
        <f>AU69*((1+Settings!$J$63)^2)</f>
        <v>9733.4549999999999</v>
      </c>
      <c r="AV72" s="1277">
        <f>AV69*((1+Settings!$J$63)^3)</f>
        <v>10178.026968749999</v>
      </c>
      <c r="AW72" s="1277">
        <f>AW69*((1+Settings!$J$63)^4)</f>
        <v>10601.164217578123</v>
      </c>
      <c r="AX72" s="1277">
        <f>AX69*((1+Settings!$J$63)^5)</f>
        <v>11000.440935439448</v>
      </c>
      <c r="AY72" s="1277">
        <f>AY69*((1+Settings!$J$63)^6)</f>
        <v>11237.612382066645</v>
      </c>
      <c r="AZ72" s="1277">
        <f>AZ69*((1+Settings!$J$63)^7)</f>
        <v>11438.877174797493</v>
      </c>
      <c r="BA72" s="1277">
        <f>BA69*((1+Settings!$J$63)^8)</f>
        <v>11601.132780173204</v>
      </c>
      <c r="BB72" s="1277">
        <f>BB69*((1+Settings!$J$63)^9)</f>
        <v>11286.665403027208</v>
      </c>
      <c r="BC72" s="1277">
        <f>BC69*((1+Settings!$J$63)^10)</f>
        <v>10580.222300536921</v>
      </c>
      <c r="BD72" s="1277">
        <f>BD69*((1+Settings!$J$63)^11)</f>
        <v>9890.1962472203704</v>
      </c>
      <c r="BE72" s="1277">
        <f>BE69*((1+Settings!$J$63)^12)</f>
        <v>9172.5786595991158</v>
      </c>
      <c r="BF72" s="1277">
        <f>BF69*((1+Settings!$J$63)^13)</f>
        <v>8750.0699999999943</v>
      </c>
      <c r="BG72" s="1308">
        <f>BG69*((1+Settings!$J$63)^14)</f>
        <v>8750.0699999999924</v>
      </c>
      <c r="BH72" s="1068"/>
    </row>
    <row r="73" spans="15:76" ht="3.75" customHeight="1">
      <c r="O73" s="662"/>
      <c r="P73" s="663"/>
      <c r="Q73" s="664"/>
      <c r="R73" s="664"/>
      <c r="S73" s="664"/>
      <c r="T73" s="664"/>
      <c r="U73" s="664"/>
      <c r="V73" s="665"/>
      <c r="W73" s="665"/>
      <c r="X73" s="665"/>
      <c r="Y73" s="666"/>
      <c r="Z73" s="1067"/>
      <c r="AA73" s="662"/>
      <c r="AB73" s="1289"/>
      <c r="AC73" s="1289"/>
      <c r="AD73" s="1289"/>
      <c r="AE73" s="1289"/>
      <c r="AF73" s="1289"/>
      <c r="AG73" s="1289"/>
      <c r="AH73" s="1289"/>
      <c r="AI73" s="1289"/>
      <c r="AJ73" s="1289"/>
      <c r="AK73" s="1289"/>
      <c r="AL73" s="1289"/>
      <c r="AM73" s="1289"/>
      <c r="AN73" s="1289"/>
      <c r="AO73" s="1289"/>
      <c r="AP73" s="1289"/>
      <c r="AQ73" s="1289"/>
      <c r="AR73" s="1289"/>
      <c r="AS73" s="1284"/>
      <c r="AT73" s="1277"/>
      <c r="AU73" s="1277"/>
      <c r="AV73" s="1277"/>
      <c r="AW73" s="1277"/>
      <c r="AX73" s="1277"/>
      <c r="AY73" s="1277"/>
      <c r="AZ73" s="1277"/>
      <c r="BA73" s="1277"/>
      <c r="BB73" s="1277"/>
      <c r="BC73" s="1277"/>
      <c r="BD73" s="1277"/>
      <c r="BE73" s="1277"/>
      <c r="BF73" s="1277"/>
      <c r="BG73" s="1308"/>
      <c r="BH73" s="1068"/>
    </row>
    <row r="74" spans="15:76" ht="18.75" customHeight="1">
      <c r="O74" s="662"/>
      <c r="P74" s="663"/>
      <c r="Q74" s="664"/>
      <c r="R74" s="664"/>
      <c r="S74" s="664"/>
      <c r="T74" s="664"/>
      <c r="U74" s="664"/>
      <c r="V74" s="664"/>
      <c r="W74" s="672" t="s">
        <v>572</v>
      </c>
      <c r="X74" s="610">
        <v>1</v>
      </c>
      <c r="Y74" s="666"/>
      <c r="Z74" s="1067"/>
      <c r="AA74" s="662"/>
      <c r="AB74" s="1289"/>
      <c r="AC74" s="1289"/>
      <c r="AD74" s="1289"/>
      <c r="AE74" s="1289"/>
      <c r="AF74" s="1289"/>
      <c r="AG74" s="1289"/>
      <c r="AH74" s="1289"/>
      <c r="AI74" s="1289"/>
      <c r="AJ74" s="1289"/>
      <c r="AK74" s="1289"/>
      <c r="AL74" s="1289"/>
      <c r="AM74" s="1289"/>
      <c r="AN74" s="1289"/>
      <c r="AO74" s="1289"/>
      <c r="AP74" s="1289"/>
      <c r="AQ74" s="1289"/>
      <c r="AR74" s="1289"/>
      <c r="AS74" s="1315">
        <f>IF(AND(TermDeposit=0,PensionBalance2=0,PensionBalance1=0),0,IF('Admin Settings'!$V$86+'Admin Settings'!$V$87=0,0,(AS72/('Admin Settings'!$M$42+'Admin Settings'!$J$64))))</f>
        <v>5.00004E-2</v>
      </c>
      <c r="AT74" s="1315">
        <f>IF(AND(TermDeposit=0,PensionBalance2=0,PensionBalance1=0),0,IF('Admin Settings'!$V$86+'Admin Settings'!$V$87=0,0,(AT72/('Admin Settings'!$M$42+'Admin Settings'!$J$64))))</f>
        <v>5.00004E-2</v>
      </c>
      <c r="AU74" s="1315">
        <f>IF(AND(TermDeposit=0,PensionBalance2=0,PensionBalance1=0),0,IF('Admin Settings'!$V$86+'Admin Settings'!$V$87=0,0,(AU72/('Admin Settings'!$M$42+'Admin Settings'!$J$64))))</f>
        <v>5.5619742857142856E-2</v>
      </c>
      <c r="AV74" s="1315">
        <f>IF(AND(TermDeposit=0,PensionBalance2=0,PensionBalance1=0),0,IF('Admin Settings'!$V$86+'Admin Settings'!$V$87=0,0,(AV72/('Admin Settings'!$M$42+'Admin Settings'!$J$64))))</f>
        <v>5.8160154107142849E-2</v>
      </c>
      <c r="AW74" s="1315">
        <f>IF(AND(TermDeposit=0,PensionBalance2=0,PensionBalance1=0),0,IF('Admin Settings'!$V$86+'Admin Settings'!$V$87=0,0,(AW72/('Admin Settings'!$M$42+'Admin Settings'!$J$64))))</f>
        <v>6.0578081243303564E-2</v>
      </c>
      <c r="AX74" s="1315">
        <f>IF(AND(TermDeposit=0,PensionBalance2=0,PensionBalance1=0),0,IF('Admin Settings'!$V$86+'Admin Settings'!$V$87=0,0,(AX72/('Admin Settings'!$M$42+'Admin Settings'!$J$64))))</f>
        <v>6.2859662488225415E-2</v>
      </c>
      <c r="AY74" s="1315">
        <f>IF(AND(TermDeposit=0,PensionBalance2=0,PensionBalance1=0),0,IF('Admin Settings'!$V$86+'Admin Settings'!$V$87=0,0,(AY72/('Admin Settings'!$M$42+'Admin Settings'!$J$64))))</f>
        <v>6.4214927897523685E-2</v>
      </c>
      <c r="AZ74" s="1315">
        <f>IF(AND(TermDeposit=0,PensionBalance2=0,PensionBalance1=0),0,IF('Admin Settings'!$V$86+'Admin Settings'!$V$87=0,0,(AZ72/('Admin Settings'!$M$42+'Admin Settings'!$J$64))))</f>
        <v>6.5365012427414243E-2</v>
      </c>
      <c r="BA74" s="1315">
        <f>IF(AND(TermDeposit=0,PensionBalance2=0,PensionBalance1=0),0,IF('Admin Settings'!$V$86+'Admin Settings'!$V$87=0,0,(BA72/('Admin Settings'!$M$42+'Admin Settings'!$J$64))))</f>
        <v>6.6292187315275447E-2</v>
      </c>
      <c r="BB74" s="1315">
        <f>IF(AND(TermDeposit=0,PensionBalance2=0,PensionBalance1=0),0,IF('Admin Settings'!$V$86+'Admin Settings'!$V$87=0,0,(BB72/('Admin Settings'!$M$42+'Admin Settings'!$J$64))))</f>
        <v>6.4495230874441187E-2</v>
      </c>
      <c r="BC74" s="1315">
        <f>IF(AND(TermDeposit=0,PensionBalance2=0,PensionBalance1=0),0,IF('Admin Settings'!$V$86+'Admin Settings'!$V$87=0,0,(BC72/('Admin Settings'!$M$42+'Admin Settings'!$J$64))))</f>
        <v>6.0458413145925267E-2</v>
      </c>
      <c r="BD74" s="1315">
        <f>IF(AND(TermDeposit=0,PensionBalance2=0,PensionBalance1=0),0,IF('Admin Settings'!$V$86+'Admin Settings'!$V$87=0,0,(BD72/('Admin Settings'!$M$42+'Admin Settings'!$J$64))))</f>
        <v>5.6515407126973546E-2</v>
      </c>
      <c r="BE74" s="1315">
        <f>IF(AND(TermDeposit=0,PensionBalance2=0,PensionBalance1=0),0,IF('Admin Settings'!$V$86+'Admin Settings'!$V$87=0,0,(BE72/('Admin Settings'!$M$42+'Admin Settings'!$J$64))))</f>
        <v>5.2414735197709235E-2</v>
      </c>
      <c r="BF74" s="1315">
        <f>IF(AND(TermDeposit=0,PensionBalance2=0,PensionBalance1=0),0,IF('Admin Settings'!$V$86+'Admin Settings'!$V$87=0,0,(BF72/('Admin Settings'!$M$42+'Admin Settings'!$J$64))))</f>
        <v>5.0000399999999966E-2</v>
      </c>
      <c r="BG74" s="1315">
        <f>IF(AND(TermDeposit=0,PensionBalance2=0,PensionBalance1=0),0,IF('Admin Settings'!$V$86+'Admin Settings'!$V$87=0,0,(BG72/('Admin Settings'!$M$42+'Admin Settings'!$J$64))))</f>
        <v>5.0000399999999959E-2</v>
      </c>
      <c r="BH74" s="1068"/>
    </row>
    <row r="75" spans="15:76" ht="3.75" customHeight="1" thickBot="1">
      <c r="O75" s="662"/>
      <c r="P75" s="668"/>
      <c r="Q75" s="669"/>
      <c r="R75" s="669"/>
      <c r="S75" s="669"/>
      <c r="T75" s="669"/>
      <c r="U75" s="669"/>
      <c r="V75" s="670"/>
      <c r="W75" s="670"/>
      <c r="X75" s="670"/>
      <c r="Y75" s="671"/>
      <c r="Z75" s="1067"/>
      <c r="AA75" s="662"/>
      <c r="AB75" s="1290"/>
      <c r="AC75" s="1290"/>
      <c r="AD75" s="1290"/>
      <c r="AE75" s="1290"/>
      <c r="AF75" s="1290"/>
      <c r="AG75" s="1290"/>
      <c r="AH75" s="1290"/>
      <c r="AI75" s="1290"/>
      <c r="AJ75" s="1290"/>
      <c r="AK75" s="1290"/>
      <c r="AL75" s="1290"/>
      <c r="AM75" s="1290"/>
      <c r="AN75" s="1290"/>
      <c r="AO75" s="1290"/>
      <c r="AP75" s="1290"/>
      <c r="AQ75" s="1290"/>
      <c r="AR75" s="1290"/>
      <c r="AS75" s="1316"/>
      <c r="AT75" s="1316"/>
      <c r="AU75" s="1316"/>
      <c r="AV75" s="1316"/>
      <c r="AW75" s="1316"/>
      <c r="AX75" s="1316"/>
      <c r="AY75" s="1316"/>
      <c r="AZ75" s="1316"/>
      <c r="BA75" s="1316"/>
      <c r="BB75" s="1316"/>
      <c r="BC75" s="1316"/>
      <c r="BD75" s="1316"/>
      <c r="BE75" s="1316"/>
      <c r="BF75" s="1316"/>
      <c r="BG75" s="1316"/>
      <c r="BH75" s="1068"/>
    </row>
    <row r="76" spans="15:76" ht="16.5" thickTop="1">
      <c r="O76" s="662"/>
      <c r="P76" s="662"/>
      <c r="Q76" s="662"/>
      <c r="R76" s="662"/>
      <c r="S76" s="662"/>
      <c r="T76" s="662"/>
      <c r="U76" s="662"/>
      <c r="V76" s="662"/>
      <c r="W76" s="662"/>
      <c r="X76" s="662"/>
      <c r="Y76" s="662"/>
      <c r="Z76" s="662"/>
      <c r="AA76" s="662"/>
    </row>
    <row r="79" spans="15:76" ht="17.25">
      <c r="AB79" s="1047"/>
      <c r="AC79" s="1047"/>
      <c r="AD79" s="1047"/>
      <c r="AE79" s="1047"/>
      <c r="AF79" s="1047"/>
      <c r="AG79" s="1047"/>
      <c r="AH79" s="1047"/>
      <c r="AN79" s="1070"/>
      <c r="BH79" s="547"/>
      <c r="BI79" s="547"/>
      <c r="BJ79" s="547"/>
      <c r="BK79" s="547"/>
      <c r="BL79" s="547"/>
      <c r="BM79" s="547"/>
      <c r="BN79" s="547"/>
      <c r="BO79" s="547"/>
      <c r="BP79" s="547"/>
      <c r="BQ79" s="547"/>
      <c r="BR79" s="547"/>
      <c r="BS79" s="547"/>
      <c r="BT79" s="547"/>
      <c r="BU79" s="547"/>
      <c r="BW79" s="547"/>
      <c r="BX79" s="547"/>
    </row>
    <row r="80" spans="15:76" ht="17.25">
      <c r="AB80" s="1047"/>
      <c r="AC80" s="1047"/>
      <c r="AD80" s="1047"/>
      <c r="AE80" s="1047"/>
      <c r="AF80" s="1047"/>
      <c r="AG80" s="1047"/>
      <c r="AH80" s="1047"/>
      <c r="AI80" s="1054"/>
      <c r="AJ80" s="1055"/>
      <c r="AK80" s="1055"/>
      <c r="AL80" s="1055"/>
      <c r="AM80" s="1055"/>
      <c r="AN80" s="1070"/>
    </row>
    <row r="81" spans="28:40" ht="17.25">
      <c r="AB81" s="1047"/>
      <c r="AC81" s="1047"/>
      <c r="AD81" s="1047"/>
      <c r="AE81" s="1047"/>
      <c r="AF81" s="1047"/>
      <c r="AG81" s="1047"/>
      <c r="AH81" s="1047"/>
      <c r="AI81" s="1054"/>
      <c r="AJ81" s="1055"/>
      <c r="AK81" s="1055"/>
      <c r="AL81" s="1055"/>
      <c r="AM81" s="1055"/>
      <c r="AN81" s="1070"/>
    </row>
    <row r="82" spans="28:40">
      <c r="AB82" s="1056"/>
      <c r="AC82" s="1056"/>
      <c r="AD82" s="1056"/>
      <c r="AE82" s="1056"/>
      <c r="AF82" s="1056"/>
      <c r="AG82" s="1056"/>
      <c r="AH82" s="1056"/>
    </row>
    <row r="83" spans="28:40" ht="21">
      <c r="AB83" s="1047"/>
      <c r="AC83" s="1057"/>
      <c r="AD83" s="1057"/>
      <c r="AE83" s="1057"/>
      <c r="AF83" s="1057"/>
      <c r="AG83" s="1057"/>
      <c r="AH83" s="1057"/>
      <c r="AI83" s="1057"/>
      <c r="AJ83" s="1057"/>
      <c r="AK83" s="1057"/>
      <c r="AL83" s="1057"/>
      <c r="AM83" s="1057"/>
      <c r="AN83" s="1047"/>
    </row>
    <row r="84" spans="28:40" ht="17.25">
      <c r="AC84" s="1078"/>
      <c r="AD84" s="1078"/>
      <c r="AE84" s="1078"/>
      <c r="AF84" s="1078"/>
      <c r="AG84" s="1078"/>
      <c r="AH84" s="1078"/>
      <c r="AI84" s="1078"/>
      <c r="AN84" s="1070"/>
    </row>
    <row r="85" spans="28:40" ht="15.75" customHeight="1">
      <c r="AB85" s="1078"/>
      <c r="AC85" s="1078"/>
      <c r="AD85" s="1078"/>
      <c r="AE85" s="1078"/>
      <c r="AF85" s="1078"/>
      <c r="AG85" s="1078"/>
      <c r="AH85" s="1078"/>
      <c r="AI85" s="1078"/>
      <c r="AN85" s="1047"/>
    </row>
    <row r="217" spans="1:4">
      <c r="A217" s="607">
        <v>0</v>
      </c>
    </row>
    <row r="218" spans="1:4">
      <c r="A218" s="607">
        <v>0.01</v>
      </c>
      <c r="C218" s="543" t="s">
        <v>513</v>
      </c>
      <c r="D218" s="543" t="s">
        <v>512</v>
      </c>
    </row>
    <row r="219" spans="1:4">
      <c r="A219" s="607">
        <v>0.02</v>
      </c>
      <c r="B219" s="543">
        <v>1</v>
      </c>
      <c r="C219" s="552" t="e">
        <f>#REF!</f>
        <v>#REF!</v>
      </c>
      <c r="D219" s="552" t="e">
        <f>#REF!</f>
        <v>#REF!</v>
      </c>
    </row>
    <row r="220" spans="1:4">
      <c r="A220" s="607">
        <v>0.03</v>
      </c>
      <c r="B220" s="543">
        <v>2</v>
      </c>
      <c r="C220" s="552" t="e">
        <f>#REF!</f>
        <v>#REF!</v>
      </c>
      <c r="D220" s="552" t="e">
        <f>#REF!</f>
        <v>#REF!</v>
      </c>
    </row>
    <row r="221" spans="1:4">
      <c r="A221" s="607">
        <v>0.04</v>
      </c>
      <c r="B221" s="543">
        <v>3</v>
      </c>
      <c r="C221" s="552" t="e">
        <f>#REF!</f>
        <v>#REF!</v>
      </c>
      <c r="D221" s="552" t="e">
        <f>#REF!</f>
        <v>#REF!</v>
      </c>
    </row>
    <row r="222" spans="1:4">
      <c r="A222" s="607">
        <v>0.05</v>
      </c>
      <c r="B222" s="543">
        <v>4</v>
      </c>
      <c r="C222" s="552" t="e">
        <f>#REF!</f>
        <v>#REF!</v>
      </c>
      <c r="D222" s="552" t="e">
        <f>#REF!</f>
        <v>#REF!</v>
      </c>
    </row>
    <row r="223" spans="1:4">
      <c r="A223" s="607">
        <v>0.06</v>
      </c>
      <c r="B223" s="543">
        <v>5</v>
      </c>
      <c r="C223" s="552" t="e">
        <f>#REF!</f>
        <v>#REF!</v>
      </c>
      <c r="D223" s="552" t="e">
        <f>#REF!</f>
        <v>#REF!</v>
      </c>
    </row>
    <row r="224" spans="1:4">
      <c r="A224" s="607">
        <v>7.0000000000000007E-2</v>
      </c>
      <c r="B224" s="543">
        <v>6</v>
      </c>
      <c r="C224" s="552" t="e">
        <f>#REF!</f>
        <v>#REF!</v>
      </c>
      <c r="D224" s="552" t="e">
        <f>#REF!</f>
        <v>#REF!</v>
      </c>
    </row>
    <row r="225" spans="1:4">
      <c r="A225" s="607">
        <v>0.08</v>
      </c>
      <c r="B225" s="543">
        <v>7</v>
      </c>
      <c r="C225" s="552" t="e">
        <f>#REF!</f>
        <v>#REF!</v>
      </c>
      <c r="D225" s="552" t="e">
        <f>#REF!</f>
        <v>#REF!</v>
      </c>
    </row>
    <row r="226" spans="1:4">
      <c r="A226" s="607">
        <v>0.09</v>
      </c>
      <c r="B226" s="543">
        <v>8</v>
      </c>
      <c r="C226" s="552" t="e">
        <f>#REF!</f>
        <v>#REF!</v>
      </c>
      <c r="D226" s="552" t="e">
        <f>#REF!</f>
        <v>#REF!</v>
      </c>
    </row>
    <row r="227" spans="1:4">
      <c r="A227" s="607">
        <v>0.1</v>
      </c>
      <c r="B227" s="543">
        <v>9</v>
      </c>
      <c r="C227" s="552" t="e">
        <f>#REF!</f>
        <v>#REF!</v>
      </c>
      <c r="D227" s="552" t="e">
        <f>#REF!</f>
        <v>#REF!</v>
      </c>
    </row>
    <row r="228" spans="1:4">
      <c r="A228" s="607">
        <v>0.11</v>
      </c>
      <c r="B228" s="543">
        <v>10</v>
      </c>
      <c r="C228" s="552" t="e">
        <f>#REF!</f>
        <v>#REF!</v>
      </c>
      <c r="D228" s="552" t="e">
        <f>#REF!</f>
        <v>#REF!</v>
      </c>
    </row>
    <row r="229" spans="1:4">
      <c r="A229" s="607">
        <v>0.12</v>
      </c>
      <c r="B229" s="543">
        <v>11</v>
      </c>
      <c r="C229" s="552" t="e">
        <f>#REF!</f>
        <v>#REF!</v>
      </c>
      <c r="D229" s="552" t="e">
        <f>#REF!</f>
        <v>#REF!</v>
      </c>
    </row>
    <row r="230" spans="1:4">
      <c r="A230" s="607">
        <v>0.13</v>
      </c>
      <c r="B230" s="543">
        <v>12</v>
      </c>
      <c r="C230" s="552" t="e">
        <f>#REF!</f>
        <v>#REF!</v>
      </c>
      <c r="D230" s="552" t="e">
        <f>#REF!</f>
        <v>#REF!</v>
      </c>
    </row>
    <row r="231" spans="1:4">
      <c r="A231" s="607">
        <v>0.14000000000000001</v>
      </c>
      <c r="B231" s="543">
        <v>13</v>
      </c>
      <c r="C231" s="552" t="e">
        <f>#REF!</f>
        <v>#REF!</v>
      </c>
      <c r="D231" s="552" t="e">
        <f>#REF!</f>
        <v>#REF!</v>
      </c>
    </row>
    <row r="232" spans="1:4">
      <c r="A232" s="607">
        <v>0.15</v>
      </c>
      <c r="B232" s="543">
        <v>14</v>
      </c>
      <c r="C232" s="552" t="e">
        <f>#REF!</f>
        <v>#REF!</v>
      </c>
      <c r="D232" s="552" t="e">
        <f>#REF!</f>
        <v>#REF!</v>
      </c>
    </row>
    <row r="233" spans="1:4">
      <c r="A233" s="607">
        <v>0.16</v>
      </c>
      <c r="B233" s="543">
        <v>15</v>
      </c>
      <c r="C233" s="552" t="e">
        <f>#REF!</f>
        <v>#REF!</v>
      </c>
      <c r="D233" s="552" t="e">
        <f>#REF!</f>
        <v>#REF!</v>
      </c>
    </row>
    <row r="234" spans="1:4">
      <c r="A234" s="607">
        <v>0.17</v>
      </c>
      <c r="B234" s="543">
        <v>16</v>
      </c>
      <c r="C234" s="552" t="e">
        <f>#REF!</f>
        <v>#REF!</v>
      </c>
      <c r="D234" s="552" t="e">
        <f>#REF!</f>
        <v>#REF!</v>
      </c>
    </row>
    <row r="235" spans="1:4">
      <c r="A235" s="607">
        <v>0.18</v>
      </c>
      <c r="B235" s="543">
        <v>17</v>
      </c>
      <c r="C235" s="552" t="e">
        <f>#REF!</f>
        <v>#REF!</v>
      </c>
      <c r="D235" s="552" t="e">
        <f>#REF!</f>
        <v>#REF!</v>
      </c>
    </row>
    <row r="236" spans="1:4">
      <c r="A236" s="607">
        <v>0.19</v>
      </c>
      <c r="B236" s="543">
        <v>18</v>
      </c>
      <c r="C236" s="552" t="e">
        <f>#REF!</f>
        <v>#REF!</v>
      </c>
      <c r="D236" s="552" t="e">
        <f>#REF!</f>
        <v>#REF!</v>
      </c>
    </row>
    <row r="237" spans="1:4">
      <c r="A237" s="607">
        <v>0.2</v>
      </c>
      <c r="B237" s="543">
        <v>19</v>
      </c>
      <c r="C237" s="552" t="e">
        <f>#REF!</f>
        <v>#REF!</v>
      </c>
      <c r="D237" s="552" t="e">
        <f>#REF!</f>
        <v>#REF!</v>
      </c>
    </row>
    <row r="238" spans="1:4">
      <c r="A238" s="607">
        <v>0.21</v>
      </c>
      <c r="B238" s="543">
        <v>20</v>
      </c>
      <c r="C238" s="552" t="e">
        <f>#REF!</f>
        <v>#REF!</v>
      </c>
      <c r="D238" s="552" t="e">
        <f>#REF!</f>
        <v>#REF!</v>
      </c>
    </row>
    <row r="239" spans="1:4">
      <c r="A239" s="607">
        <v>0.22</v>
      </c>
      <c r="B239" s="543">
        <v>21</v>
      </c>
      <c r="C239" s="552" t="e">
        <f>#REF!</f>
        <v>#REF!</v>
      </c>
      <c r="D239" s="552" t="e">
        <f>#REF!</f>
        <v>#REF!</v>
      </c>
    </row>
    <row r="240" spans="1:4">
      <c r="A240" s="607">
        <v>0.23</v>
      </c>
      <c r="B240" s="543">
        <v>22</v>
      </c>
      <c r="C240" s="552" t="e">
        <f>#REF!</f>
        <v>#REF!</v>
      </c>
      <c r="D240" s="552" t="e">
        <f>#REF!</f>
        <v>#REF!</v>
      </c>
    </row>
    <row r="241" spans="1:4">
      <c r="A241" s="607">
        <v>0.24</v>
      </c>
      <c r="B241" s="543">
        <v>23</v>
      </c>
      <c r="C241" s="552" t="e">
        <f>#REF!</f>
        <v>#REF!</v>
      </c>
      <c r="D241" s="552" t="e">
        <f>#REF!</f>
        <v>#REF!</v>
      </c>
    </row>
    <row r="242" spans="1:4">
      <c r="A242" s="607">
        <v>0.25</v>
      </c>
      <c r="B242" s="543">
        <v>24</v>
      </c>
      <c r="C242" s="552" t="e">
        <f>#REF!</f>
        <v>#REF!</v>
      </c>
      <c r="D242" s="552" t="e">
        <f>#REF!</f>
        <v>#REF!</v>
      </c>
    </row>
    <row r="243" spans="1:4">
      <c r="A243" s="607">
        <v>0.26</v>
      </c>
      <c r="B243" s="543">
        <v>25</v>
      </c>
      <c r="C243" s="552" t="e">
        <f>#REF!</f>
        <v>#REF!</v>
      </c>
      <c r="D243" s="552" t="e">
        <f>#REF!</f>
        <v>#REF!</v>
      </c>
    </row>
    <row r="244" spans="1:4">
      <c r="A244" s="607">
        <v>0.27</v>
      </c>
      <c r="B244" s="543">
        <v>26</v>
      </c>
      <c r="C244" s="552" t="e">
        <f>#REF!</f>
        <v>#REF!</v>
      </c>
      <c r="D244" s="552" t="e">
        <f>#REF!</f>
        <v>#REF!</v>
      </c>
    </row>
    <row r="245" spans="1:4">
      <c r="A245" s="607">
        <v>0.28000000000000003</v>
      </c>
      <c r="B245" s="543">
        <v>27</v>
      </c>
      <c r="C245" s="552" t="e">
        <f>#REF!</f>
        <v>#REF!</v>
      </c>
      <c r="D245" s="552" t="e">
        <f>#REF!</f>
        <v>#REF!</v>
      </c>
    </row>
    <row r="246" spans="1:4">
      <c r="A246" s="607">
        <v>0.28999999999999998</v>
      </c>
      <c r="B246" s="543">
        <v>28</v>
      </c>
      <c r="C246" s="552" t="e">
        <f>#REF!</f>
        <v>#REF!</v>
      </c>
      <c r="D246" s="552" t="e">
        <f>#REF!</f>
        <v>#REF!</v>
      </c>
    </row>
    <row r="247" spans="1:4">
      <c r="A247" s="607">
        <v>0.3</v>
      </c>
      <c r="B247" s="543">
        <v>29</v>
      </c>
      <c r="C247" s="552" t="e">
        <f>#REF!</f>
        <v>#REF!</v>
      </c>
      <c r="D247" s="552" t="e">
        <f>#REF!</f>
        <v>#REF!</v>
      </c>
    </row>
    <row r="248" spans="1:4">
      <c r="A248" s="607">
        <v>0.31</v>
      </c>
      <c r="B248" s="543">
        <v>30</v>
      </c>
      <c r="C248" s="552" t="e">
        <f>#REF!</f>
        <v>#REF!</v>
      </c>
      <c r="D248" s="552" t="e">
        <f>#REF!</f>
        <v>#REF!</v>
      </c>
    </row>
    <row r="249" spans="1:4">
      <c r="A249" s="607">
        <v>0.32</v>
      </c>
      <c r="B249" s="543">
        <v>31</v>
      </c>
      <c r="C249" s="552" t="e">
        <f>#REF!</f>
        <v>#REF!</v>
      </c>
      <c r="D249" s="552" t="e">
        <f>#REF!</f>
        <v>#REF!</v>
      </c>
    </row>
    <row r="250" spans="1:4">
      <c r="A250" s="607">
        <v>0.33</v>
      </c>
      <c r="B250" s="543">
        <v>32</v>
      </c>
      <c r="C250" s="552" t="e">
        <f>#REF!</f>
        <v>#REF!</v>
      </c>
      <c r="D250" s="552" t="e">
        <f>#REF!</f>
        <v>#REF!</v>
      </c>
    </row>
    <row r="251" spans="1:4">
      <c r="A251" s="607">
        <v>0.34</v>
      </c>
      <c r="B251" s="543">
        <v>33</v>
      </c>
      <c r="C251" s="552" t="e">
        <f>#REF!</f>
        <v>#REF!</v>
      </c>
      <c r="D251" s="552" t="e">
        <f>#REF!</f>
        <v>#REF!</v>
      </c>
    </row>
    <row r="252" spans="1:4">
      <c r="A252" s="607">
        <v>0.35</v>
      </c>
      <c r="B252" s="543">
        <v>34</v>
      </c>
      <c r="C252" s="552" t="e">
        <f>#REF!</f>
        <v>#REF!</v>
      </c>
      <c r="D252" s="552" t="e">
        <f>#REF!</f>
        <v>#REF!</v>
      </c>
    </row>
    <row r="253" spans="1:4">
      <c r="A253" s="607">
        <v>0.36</v>
      </c>
      <c r="B253" s="543">
        <v>35</v>
      </c>
      <c r="C253" s="552" t="e">
        <f>#REF!</f>
        <v>#REF!</v>
      </c>
      <c r="D253" s="552" t="e">
        <f>#REF!</f>
        <v>#REF!</v>
      </c>
    </row>
    <row r="254" spans="1:4">
      <c r="A254" s="607">
        <v>0.37</v>
      </c>
    </row>
    <row r="255" spans="1:4">
      <c r="A255" s="607">
        <v>0.38</v>
      </c>
    </row>
    <row r="256" spans="1:4">
      <c r="A256" s="607">
        <v>0.39</v>
      </c>
    </row>
    <row r="257" spans="1:1">
      <c r="A257" s="607">
        <v>0.4</v>
      </c>
    </row>
    <row r="258" spans="1:1">
      <c r="A258" s="607">
        <v>0.41</v>
      </c>
    </row>
    <row r="259" spans="1:1">
      <c r="A259" s="607">
        <v>0.42</v>
      </c>
    </row>
    <row r="260" spans="1:1">
      <c r="A260" s="607">
        <v>0.43</v>
      </c>
    </row>
    <row r="261" spans="1:1">
      <c r="A261" s="607">
        <v>0.44</v>
      </c>
    </row>
    <row r="262" spans="1:1">
      <c r="A262" s="607">
        <v>0.45</v>
      </c>
    </row>
    <row r="263" spans="1:1">
      <c r="A263" s="607">
        <v>0.46</v>
      </c>
    </row>
    <row r="264" spans="1:1">
      <c r="A264" s="607">
        <v>0.47</v>
      </c>
    </row>
    <row r="265" spans="1:1">
      <c r="A265" s="607">
        <v>0.48</v>
      </c>
    </row>
    <row r="266" spans="1:1">
      <c r="A266" s="607">
        <v>0.49</v>
      </c>
    </row>
    <row r="267" spans="1:1">
      <c r="A267" s="607">
        <v>0.5</v>
      </c>
    </row>
    <row r="268" spans="1:1">
      <c r="A268" s="607">
        <v>0.51</v>
      </c>
    </row>
    <row r="269" spans="1:1">
      <c r="A269" s="607">
        <v>0.52</v>
      </c>
    </row>
    <row r="270" spans="1:1">
      <c r="A270" s="607">
        <v>0.53</v>
      </c>
    </row>
    <row r="271" spans="1:1">
      <c r="A271" s="607">
        <v>0.54</v>
      </c>
    </row>
    <row r="272" spans="1:1">
      <c r="A272" s="607">
        <v>0.55000000000000004</v>
      </c>
    </row>
    <row r="273" spans="1:1">
      <c r="A273" s="607">
        <v>0.56000000000000005</v>
      </c>
    </row>
    <row r="274" spans="1:1">
      <c r="A274" s="607">
        <v>0.56999999999999995</v>
      </c>
    </row>
    <row r="275" spans="1:1">
      <c r="A275" s="607">
        <v>0.57999999999999996</v>
      </c>
    </row>
    <row r="276" spans="1:1">
      <c r="A276" s="607">
        <v>0.59</v>
      </c>
    </row>
    <row r="277" spans="1:1">
      <c r="A277" s="607">
        <v>0.6</v>
      </c>
    </row>
    <row r="278" spans="1:1">
      <c r="A278" s="607">
        <v>0.61</v>
      </c>
    </row>
    <row r="279" spans="1:1">
      <c r="A279" s="607">
        <v>0.62</v>
      </c>
    </row>
    <row r="280" spans="1:1">
      <c r="A280" s="607">
        <v>0.63</v>
      </c>
    </row>
    <row r="281" spans="1:1">
      <c r="A281" s="607">
        <v>0.64</v>
      </c>
    </row>
    <row r="282" spans="1:1">
      <c r="A282" s="607">
        <v>0.65</v>
      </c>
    </row>
    <row r="283" spans="1:1">
      <c r="A283" s="607">
        <v>0.66</v>
      </c>
    </row>
    <row r="284" spans="1:1">
      <c r="A284" s="607">
        <v>0.67</v>
      </c>
    </row>
    <row r="285" spans="1:1">
      <c r="A285" s="607">
        <v>0.68</v>
      </c>
    </row>
    <row r="286" spans="1:1">
      <c r="A286" s="607">
        <v>0.69</v>
      </c>
    </row>
    <row r="287" spans="1:1">
      <c r="A287" s="607">
        <v>0.7</v>
      </c>
    </row>
    <row r="288" spans="1:1">
      <c r="A288" s="607">
        <v>0.71</v>
      </c>
    </row>
    <row r="289" spans="1:1">
      <c r="A289" s="607">
        <v>0.72</v>
      </c>
    </row>
    <row r="290" spans="1:1">
      <c r="A290" s="607">
        <v>0.73</v>
      </c>
    </row>
    <row r="291" spans="1:1">
      <c r="A291" s="607">
        <v>0.74</v>
      </c>
    </row>
    <row r="292" spans="1:1">
      <c r="A292" s="607">
        <v>0.75</v>
      </c>
    </row>
    <row r="293" spans="1:1">
      <c r="A293" s="607">
        <v>0.76</v>
      </c>
    </row>
    <row r="294" spans="1:1">
      <c r="A294" s="607">
        <v>0.77</v>
      </c>
    </row>
    <row r="295" spans="1:1">
      <c r="A295" s="607">
        <v>0.78</v>
      </c>
    </row>
    <row r="296" spans="1:1">
      <c r="A296" s="607">
        <v>0.79</v>
      </c>
    </row>
    <row r="297" spans="1:1">
      <c r="A297" s="607">
        <v>0.8</v>
      </c>
    </row>
    <row r="298" spans="1:1">
      <c r="A298" s="607">
        <v>0.81</v>
      </c>
    </row>
    <row r="299" spans="1:1">
      <c r="A299" s="607">
        <v>0.82</v>
      </c>
    </row>
    <row r="300" spans="1:1">
      <c r="A300" s="607">
        <v>0.83</v>
      </c>
    </row>
    <row r="301" spans="1:1">
      <c r="A301" s="607">
        <v>0.84</v>
      </c>
    </row>
    <row r="302" spans="1:1">
      <c r="A302" s="607">
        <v>0.85</v>
      </c>
    </row>
    <row r="303" spans="1:1">
      <c r="A303" s="607">
        <v>0.86</v>
      </c>
    </row>
    <row r="304" spans="1:1">
      <c r="A304" s="607">
        <v>0.87</v>
      </c>
    </row>
    <row r="305" spans="1:1">
      <c r="A305" s="607">
        <v>0.88</v>
      </c>
    </row>
    <row r="306" spans="1:1">
      <c r="A306" s="607">
        <v>0.89</v>
      </c>
    </row>
    <row r="307" spans="1:1">
      <c r="A307" s="607">
        <v>0.9</v>
      </c>
    </row>
    <row r="308" spans="1:1">
      <c r="A308" s="607">
        <v>0.91</v>
      </c>
    </row>
    <row r="309" spans="1:1">
      <c r="A309" s="607">
        <v>0.92</v>
      </c>
    </row>
    <row r="310" spans="1:1">
      <c r="A310" s="607">
        <v>0.93</v>
      </c>
    </row>
    <row r="311" spans="1:1">
      <c r="A311" s="607">
        <v>0.94</v>
      </c>
    </row>
    <row r="312" spans="1:1">
      <c r="A312" s="607">
        <v>0.95</v>
      </c>
    </row>
    <row r="313" spans="1:1">
      <c r="A313" s="607">
        <v>0.96</v>
      </c>
    </row>
    <row r="314" spans="1:1">
      <c r="A314" s="607">
        <v>0.97</v>
      </c>
    </row>
    <row r="315" spans="1:1">
      <c r="A315" s="607">
        <v>0.98</v>
      </c>
    </row>
    <row r="316" spans="1:1">
      <c r="A316" s="607">
        <v>0.99</v>
      </c>
    </row>
    <row r="317" spans="1:1">
      <c r="A317" s="607">
        <v>1</v>
      </c>
    </row>
  </sheetData>
  <sheetProtection password="FBCA" sheet="1" objects="1" scenarios="1" selectLockedCells="1"/>
  <mergeCells count="162">
    <mergeCell ref="P1:AD4"/>
    <mergeCell ref="AC36:AE44"/>
    <mergeCell ref="AH30:AN31"/>
    <mergeCell ref="P24:Y24"/>
    <mergeCell ref="P26:U26"/>
    <mergeCell ref="AZ4:BC4"/>
    <mergeCell ref="V8:X8"/>
    <mergeCell ref="AC5:AN6"/>
    <mergeCell ref="BC74:BC75"/>
    <mergeCell ref="BC65:BC66"/>
    <mergeCell ref="BB65:BB66"/>
    <mergeCell ref="BA65:BA66"/>
    <mergeCell ref="AW69:AW71"/>
    <mergeCell ref="AX69:AX71"/>
    <mergeCell ref="AY69:AY71"/>
    <mergeCell ref="AS5:AT15"/>
    <mergeCell ref="AB61:AR64"/>
    <mergeCell ref="AB59:AR60"/>
    <mergeCell ref="AS61:AS64"/>
    <mergeCell ref="AT61:AT64"/>
    <mergeCell ref="AS59:AS60"/>
    <mergeCell ref="AT59:AT60"/>
    <mergeCell ref="AU6:BG7"/>
    <mergeCell ref="AU8:BG9"/>
    <mergeCell ref="AS72:AS73"/>
    <mergeCell ref="AT72:AT73"/>
    <mergeCell ref="AU72:AU73"/>
    <mergeCell ref="AV72:AV73"/>
    <mergeCell ref="BD69:BD71"/>
    <mergeCell ref="V11:X11"/>
    <mergeCell ref="AB65:AR68"/>
    <mergeCell ref="AX65:AX66"/>
    <mergeCell ref="AV65:AV66"/>
    <mergeCell ref="AW65:AW66"/>
    <mergeCell ref="BD67:BD68"/>
    <mergeCell ref="AZ67:AZ68"/>
    <mergeCell ref="BA67:BA68"/>
    <mergeCell ref="AW67:AW68"/>
    <mergeCell ref="AX67:AX68"/>
    <mergeCell ref="BA61:BA64"/>
    <mergeCell ref="BB59:BB60"/>
    <mergeCell ref="BB61:BB64"/>
    <mergeCell ref="BC59:BC60"/>
    <mergeCell ref="BC61:BC64"/>
    <mergeCell ref="BD59:BD60"/>
    <mergeCell ref="BD61:BD64"/>
    <mergeCell ref="BD65:BD66"/>
    <mergeCell ref="AU10:BG11"/>
    <mergeCell ref="BE74:BE75"/>
    <mergeCell ref="BF74:BF75"/>
    <mergeCell ref="BG74:BG75"/>
    <mergeCell ref="AX74:AX75"/>
    <mergeCell ref="AY74:AY75"/>
    <mergeCell ref="AZ74:AZ75"/>
    <mergeCell ref="BA74:BA75"/>
    <mergeCell ref="BB74:BB75"/>
    <mergeCell ref="AS74:AS75"/>
    <mergeCell ref="AT74:AT75"/>
    <mergeCell ref="AU74:AU75"/>
    <mergeCell ref="AV74:AV75"/>
    <mergeCell ref="AW74:AW75"/>
    <mergeCell ref="BD74:BD75"/>
    <mergeCell ref="BF72:BF73"/>
    <mergeCell ref="BG72:BG73"/>
    <mergeCell ref="BG67:BG68"/>
    <mergeCell ref="BF67:BF68"/>
    <mergeCell ref="BG65:BG66"/>
    <mergeCell ref="AW72:AW73"/>
    <mergeCell ref="AX72:AX73"/>
    <mergeCell ref="AY72:AY73"/>
    <mergeCell ref="AZ72:AZ73"/>
    <mergeCell ref="BA72:BA73"/>
    <mergeCell ref="BB72:BB73"/>
    <mergeCell ref="BC72:BC73"/>
    <mergeCell ref="BD72:BD73"/>
    <mergeCell ref="BE72:BE73"/>
    <mergeCell ref="BF65:BF66"/>
    <mergeCell ref="BE65:BE66"/>
    <mergeCell ref="BE67:BE68"/>
    <mergeCell ref="AZ65:AZ66"/>
    <mergeCell ref="AY65:AY66"/>
    <mergeCell ref="BG69:BG71"/>
    <mergeCell ref="AZ69:AZ71"/>
    <mergeCell ref="BA69:BA71"/>
    <mergeCell ref="BB69:BB71"/>
    <mergeCell ref="BC69:BC71"/>
    <mergeCell ref="AB69:AR71"/>
    <mergeCell ref="AB72:AR75"/>
    <mergeCell ref="V72:X72"/>
    <mergeCell ref="T16:V16"/>
    <mergeCell ref="T21:V21"/>
    <mergeCell ref="V52:X52"/>
    <mergeCell ref="V55:X55"/>
    <mergeCell ref="V26:X26"/>
    <mergeCell ref="T33:U33"/>
    <mergeCell ref="V38:X38"/>
    <mergeCell ref="V41:X41"/>
    <mergeCell ref="V46:X46"/>
    <mergeCell ref="W57:X57"/>
    <mergeCell ref="V67:X67"/>
    <mergeCell ref="V62:X62"/>
    <mergeCell ref="V49:X49"/>
    <mergeCell ref="AJ16:AL16"/>
    <mergeCell ref="AB17:AI19"/>
    <mergeCell ref="AJ17:AL19"/>
    <mergeCell ref="BF69:BF71"/>
    <mergeCell ref="AV67:AV68"/>
    <mergeCell ref="AU65:AU66"/>
    <mergeCell ref="AT65:AT66"/>
    <mergeCell ref="AS65:AS66"/>
    <mergeCell ref="AV69:AV71"/>
    <mergeCell ref="AS69:AS71"/>
    <mergeCell ref="AT69:AT71"/>
    <mergeCell ref="AU69:AU71"/>
    <mergeCell ref="AS67:AS68"/>
    <mergeCell ref="AT67:AT68"/>
    <mergeCell ref="AU67:AU68"/>
    <mergeCell ref="AY67:AY68"/>
    <mergeCell ref="BB67:BB68"/>
    <mergeCell ref="BC67:BC68"/>
    <mergeCell ref="BE69:BE71"/>
    <mergeCell ref="AC8:AL14"/>
    <mergeCell ref="AH28:AL29"/>
    <mergeCell ref="AU59:AU60"/>
    <mergeCell ref="AU61:AU64"/>
    <mergeCell ref="AV59:AV60"/>
    <mergeCell ref="AV61:AV64"/>
    <mergeCell ref="AW59:AW60"/>
    <mergeCell ref="AW61:AW64"/>
    <mergeCell ref="AX59:AX60"/>
    <mergeCell ref="AX61:AX64"/>
    <mergeCell ref="AB56:AR58"/>
    <mergeCell ref="AC30:AG31"/>
    <mergeCell ref="AS56:AS58"/>
    <mergeCell ref="AT56:AT58"/>
    <mergeCell ref="AU56:AU58"/>
    <mergeCell ref="AV56:AV58"/>
    <mergeCell ref="AW56:AW58"/>
    <mergeCell ref="AX56:AX58"/>
    <mergeCell ref="AC28:AG29"/>
    <mergeCell ref="AC26:AG27"/>
    <mergeCell ref="AH26:AL27"/>
    <mergeCell ref="AZ59:AZ60"/>
    <mergeCell ref="AY56:AY58"/>
    <mergeCell ref="AZ56:AZ58"/>
    <mergeCell ref="BA56:BA58"/>
    <mergeCell ref="BB56:BB58"/>
    <mergeCell ref="BF61:BF64"/>
    <mergeCell ref="BF59:BF60"/>
    <mergeCell ref="BG59:BG60"/>
    <mergeCell ref="BG61:BG64"/>
    <mergeCell ref="AY59:AY60"/>
    <mergeCell ref="AY61:AY64"/>
    <mergeCell ref="BC56:BC58"/>
    <mergeCell ref="BD56:BD58"/>
    <mergeCell ref="BE56:BE58"/>
    <mergeCell ref="BF56:BF58"/>
    <mergeCell ref="BG56:BG58"/>
    <mergeCell ref="BE61:BE64"/>
    <mergeCell ref="BE59:BE60"/>
    <mergeCell ref="AZ61:AZ64"/>
    <mergeCell ref="BA59:BA60"/>
  </mergeCells>
  <conditionalFormatting sqref="U19">
    <cfRule type="expression" dxfId="74" priority="12" stopIfTrue="1">
      <formula>$V$8="Single"</formula>
    </cfRule>
  </conditionalFormatting>
  <conditionalFormatting sqref="W19:X19 S21:X21">
    <cfRule type="expression" dxfId="73" priority="11" stopIfTrue="1">
      <formula>$V$8="Single"</formula>
    </cfRule>
  </conditionalFormatting>
  <conditionalFormatting sqref="T41">
    <cfRule type="expression" dxfId="72" priority="10">
      <formula>$V$8="Single"</formula>
    </cfRule>
  </conditionalFormatting>
  <conditionalFormatting sqref="V41:X41">
    <cfRule type="expression" dxfId="71" priority="8">
      <formula>$V$8="Single"</formula>
    </cfRule>
  </conditionalFormatting>
  <conditionalFormatting sqref="T72">
    <cfRule type="expression" dxfId="70" priority="7">
      <formula>$V$8="Single"</formula>
    </cfRule>
  </conditionalFormatting>
  <conditionalFormatting sqref="V72:X74">
    <cfRule type="expression" dxfId="69" priority="6">
      <formula>$V$8="Single"</formula>
    </cfRule>
  </conditionalFormatting>
  <conditionalFormatting sqref="AB17:AL19">
    <cfRule type="expression" dxfId="68" priority="2" stopIfTrue="1">
      <formula>$V$8="Single"</formula>
    </cfRule>
  </conditionalFormatting>
  <dataValidations count="8">
    <dataValidation type="list" allowBlank="1" showInputMessage="1" showErrorMessage="1" sqref="X74 X69">
      <formula1>"1,2,3,4,5,6,7,8,9,10"</formula1>
    </dataValidation>
    <dataValidation type="list" allowBlank="1" showInputMessage="1" showErrorMessage="1" sqref="T33">
      <formula1>$A$217:$A$317</formula1>
    </dataValidation>
    <dataValidation type="list" allowBlank="1" showInputMessage="1" showErrorMessage="1" sqref="X14 X19">
      <formula1>"Male, Female"</formula1>
    </dataValidation>
    <dataValidation type="list" allowBlank="1" showInputMessage="1" showErrorMessage="1" errorTitle="Adjust allocation" error="The allocation must be between 10% and 90%" sqref="AZ3">
      <formula1>$A$227:$A$307</formula1>
    </dataValidation>
    <dataValidation type="list" allowBlank="1" showInputMessage="1" showErrorMessage="1" sqref="V8:X8">
      <formula1>"Single, Couple"</formula1>
    </dataValidation>
    <dataValidation type="list" allowBlank="1" showInputMessage="1" showErrorMessage="1" sqref="V11:X11">
      <formula1>"Yes, No"</formula1>
    </dataValidation>
    <dataValidation type="list" allowBlank="1" showInputMessage="1" showErrorMessage="1" sqref="AZ4:BC4">
      <formula1>"Account-Based Pension (super), Term deposit/Cash (non-super)"</formula1>
    </dataValidation>
    <dataValidation type="list" allowBlank="1" showInputMessage="1" showErrorMessage="1" errorTitle="Adjust allocation" error="The allocation must be between 0% and 100%" sqref="AZ2">
      <formula1>$A$217:$A$317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68" r:id="rId4" name="Option Button 36">
              <controlPr defaultSize="0" autoFill="0" autoLine="0" autoPict="0" macro="[0]!runVicSuper">
                <anchor moveWithCells="1">
                  <from>
                    <xdr:col>0</xdr:col>
                    <xdr:colOff>-6858000</xdr:colOff>
                    <xdr:row>0</xdr:row>
                    <xdr:rowOff>-3886200</xdr:rowOff>
                  </from>
                  <to>
                    <xdr:col>0</xdr:col>
                    <xdr:colOff>-6858000</xdr:colOff>
                    <xdr:row>0</xdr:row>
                    <xdr:rowOff>-3571875</xdr:rowOff>
                  </to>
                </anchor>
              </controlPr>
            </control>
          </mc:Choice>
        </mc:AlternateContent>
        <mc:AlternateContent xmlns:mc="http://schemas.openxmlformats.org/markup-compatibility/2006">
          <mc:Choice Requires="x14">
            <control shapeId="120869" r:id="rId5" name="Option Button 37">
              <controlPr defaultSize="0" autoFill="0" autoLine="0" autoPict="0" macro="[0]!runVicSuper">
                <anchor moveWithCells="1">
                  <from>
                    <xdr:col>0</xdr:col>
                    <xdr:colOff>-6858000</xdr:colOff>
                    <xdr:row>0</xdr:row>
                    <xdr:rowOff>-3810000</xdr:rowOff>
                  </from>
                  <to>
                    <xdr:col>0</xdr:col>
                    <xdr:colOff>-6858000</xdr:colOff>
                    <xdr:row>0</xdr:row>
                    <xdr:rowOff>-3657600</xdr:rowOff>
                  </to>
                </anchor>
              </controlPr>
            </control>
          </mc:Choice>
        </mc:AlternateContent>
        <mc:AlternateContent xmlns:mc="http://schemas.openxmlformats.org/markup-compatibility/2006">
          <mc:Choice Requires="x14">
            <control shapeId="120870" r:id="rId6" name="Option Button 38">
              <controlPr defaultSize="0" autoFill="0" autoLine="0" autoPict="0" macro="[0]!runVicSuper">
                <anchor moveWithCells="1">
                  <from>
                    <xdr:col>0</xdr:col>
                    <xdr:colOff>-6858000</xdr:colOff>
                    <xdr:row>3</xdr:row>
                    <xdr:rowOff>38100</xdr:rowOff>
                  </from>
                  <to>
                    <xdr:col>0</xdr:col>
                    <xdr:colOff>-6858000</xdr:colOff>
                    <xdr:row>3</xdr:row>
                    <xdr:rowOff>190500</xdr:rowOff>
                  </to>
                </anchor>
              </controlPr>
            </control>
          </mc:Choice>
        </mc:AlternateContent>
        <mc:AlternateContent xmlns:mc="http://schemas.openxmlformats.org/markup-compatibility/2006">
          <mc:Choice Requires="x14">
            <control shapeId="120871" r:id="rId7" name="Group Box 39">
              <controlPr defaultSize="0" autoFill="0" autoPict="0">
                <anchor moveWithCells="1">
                  <from>
                    <xdr:col>0</xdr:col>
                    <xdr:colOff>-6858000</xdr:colOff>
                    <xdr:row>1</xdr:row>
                    <xdr:rowOff>123825</xdr:rowOff>
                  </from>
                  <to>
                    <xdr:col>0</xdr:col>
                    <xdr:colOff>-6858000</xdr:colOff>
                    <xdr:row>4</xdr:row>
                    <xdr:rowOff>114300</xdr:rowOff>
                  </to>
                </anchor>
              </controlPr>
            </control>
          </mc:Choice>
        </mc:AlternateContent>
        <mc:AlternateContent xmlns:mc="http://schemas.openxmlformats.org/markup-compatibility/2006">
          <mc:Choice Requires="x14">
            <control shapeId="120872" r:id="rId8" name="Button 40">
              <controlPr defaultSize="0" print="0" autoFill="0" autoPict="0" macro="[0]!runAgePensionCalculator">
                <anchor moveWithCells="1" sizeWithCells="1">
                  <from>
                    <xdr:col>52</xdr:col>
                    <xdr:colOff>314325</xdr:colOff>
                    <xdr:row>0</xdr:row>
                    <xdr:rowOff>295275</xdr:rowOff>
                  </from>
                  <to>
                    <xdr:col>54</xdr:col>
                    <xdr:colOff>619125</xdr:colOff>
                    <xdr:row>2</xdr:row>
                    <xdr:rowOff>0</xdr:rowOff>
                  </to>
                </anchor>
              </controlPr>
            </control>
          </mc:Choice>
        </mc:AlternateContent>
        <mc:AlternateContent xmlns:mc="http://schemas.openxmlformats.org/markup-compatibility/2006">
          <mc:Choice Requires="x14">
            <control shapeId="120873" r:id="rId9" name="Check Box 41">
              <controlPr defaultSize="0" autoFill="0" autoLine="0" autoPict="0" macro="[0]!runVicSuper">
                <anchor moveWithCells="1">
                  <from>
                    <xdr:col>0</xdr:col>
                    <xdr:colOff>0</xdr:colOff>
                    <xdr:row>1</xdr:row>
                    <xdr:rowOff>238125</xdr:rowOff>
                  </from>
                  <to>
                    <xdr:col>0</xdr:col>
                    <xdr:colOff>0</xdr:colOff>
                    <xdr:row>4</xdr:row>
                    <xdr:rowOff>38100</xdr:rowOff>
                  </to>
                </anchor>
              </controlPr>
            </control>
          </mc:Choice>
        </mc:AlternateContent>
        <mc:AlternateContent xmlns:mc="http://schemas.openxmlformats.org/markup-compatibility/2006">
          <mc:Choice Requires="x14">
            <control shapeId="120874" r:id="rId10" name="Button 42">
              <controlPr defaultSize="0" print="0" autoFill="0" autoPict="0" macro="[0]!runAgePensionCalculator">
                <anchor moveWithCells="1" sizeWithCells="1">
                  <from>
                    <xdr:col>16</xdr:col>
                    <xdr:colOff>200025</xdr:colOff>
                    <xdr:row>75</xdr:row>
                    <xdr:rowOff>123825</xdr:rowOff>
                  </from>
                  <to>
                    <xdr:col>22</xdr:col>
                    <xdr:colOff>323850</xdr:colOff>
                    <xdr:row>77</xdr:row>
                    <xdr:rowOff>47625</xdr:rowOff>
                  </to>
                </anchor>
              </controlPr>
            </control>
          </mc:Choice>
        </mc:AlternateContent>
        <mc:AlternateContent xmlns:mc="http://schemas.openxmlformats.org/markup-compatibility/2006">
          <mc:Choice Requires="x14">
            <control shapeId="120878" r:id="rId11" name="Button 46">
              <controlPr defaultSize="0" print="0" autoFill="0" autoPict="0" macro="[0]!runAgePensionCalculator">
                <anchor moveWithCells="1" sizeWithCells="1">
                  <from>
                    <xdr:col>26</xdr:col>
                    <xdr:colOff>0</xdr:colOff>
                    <xdr:row>51</xdr:row>
                    <xdr:rowOff>85725</xdr:rowOff>
                  </from>
                  <to>
                    <xdr:col>30</xdr:col>
                    <xdr:colOff>209550</xdr:colOff>
                    <xdr:row>54</xdr:row>
                    <xdr:rowOff>95250</xdr:rowOff>
                  </to>
                </anchor>
              </controlPr>
            </control>
          </mc:Choice>
        </mc:AlternateContent>
        <mc:AlternateContent xmlns:mc="http://schemas.openxmlformats.org/markup-compatibility/2006">
          <mc:Choice Requires="x14">
            <control shapeId="120879" r:id="rId12" name="Button 47">
              <controlPr defaultSize="0" print="0" autoFill="0" autoPict="0" macro="[0]!GoToSpendPlanner">
                <anchor moveWithCells="1" sizeWithCells="1">
                  <from>
                    <xdr:col>15</xdr:col>
                    <xdr:colOff>152400</xdr:colOff>
                    <xdr:row>27</xdr:row>
                    <xdr:rowOff>47625</xdr:rowOff>
                  </from>
                  <to>
                    <xdr:col>23</xdr:col>
                    <xdr:colOff>581025</xdr:colOff>
                    <xdr:row>28</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stopIfTrue="1" id="{4F45CBE1-2C1D-47AE-B255-3D8857740628}">
            <xm:f>'Test Sheet'!$AH$16=0</xm:f>
            <x14:dxf>
              <font>
                <color theme="0"/>
              </font>
            </x14:dxf>
          </x14:cfRule>
          <xm:sqref>AC21</xm:sqref>
        </x14:conditionalFormatting>
        <x14:conditionalFormatting xmlns:xm="http://schemas.microsoft.com/office/excel/2006/main">
          <x14:cfRule type="expression" priority="4" stopIfTrue="1" id="{7646BAEF-B3CB-4E9C-982A-960BF4009A77}">
            <xm:f>'Age Pension additional calcs'!$I$40&lt;=0</xm:f>
            <x14:dxf>
              <font>
                <color theme="0"/>
              </font>
            </x14:dxf>
          </x14:cfRule>
          <xm:sqref>AC8</xm:sqref>
        </x14:conditionalFormatting>
        <x14:conditionalFormatting xmlns:xm="http://schemas.microsoft.com/office/excel/2006/main">
          <x14:cfRule type="expression" priority="3" stopIfTrue="1" id="{98BC8EE0-1A5A-4F71-BD4F-11E5F3A4A391}">
            <xm:f>AND($AZ$4="Account-Based Pension (super)",Settings!$J$17="Yes")</xm:f>
            <x14:dxf>
              <font>
                <color theme="0"/>
              </font>
              <border>
                <left/>
                <right/>
                <top/>
                <bottom/>
                <vertical/>
                <horizontal/>
              </border>
            </x14:dxf>
          </x14:cfRule>
          <xm:sqref>AT2:AZ2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6"/>
  </sheetPr>
  <dimension ref="A1:AI1530"/>
  <sheetViews>
    <sheetView showRowColHeaders="0" topLeftCell="E25" workbookViewId="0">
      <selection activeCell="N59" sqref="N59"/>
    </sheetView>
    <sheetView topLeftCell="E1" workbookViewId="1">
      <selection activeCell="N13" sqref="N13"/>
    </sheetView>
  </sheetViews>
  <sheetFormatPr defaultRowHeight="15.75"/>
  <cols>
    <col min="1" max="1" width="11.5" style="654" hidden="1" customWidth="1"/>
    <col min="2" max="2" width="12.875" style="654" hidden="1" customWidth="1"/>
    <col min="3" max="3" width="12.5" style="654" hidden="1" customWidth="1"/>
    <col min="4" max="4" width="6.875" style="654" hidden="1" customWidth="1"/>
    <col min="5" max="5" width="4.125" style="654" customWidth="1"/>
    <col min="6" max="6" width="13.875" style="654" customWidth="1"/>
    <col min="7" max="7" width="3.75" style="654" customWidth="1"/>
    <col min="8" max="8" width="14.875" style="654" customWidth="1"/>
    <col min="9" max="9" width="3.75" style="654" customWidth="1"/>
    <col min="10" max="10" width="13.875" style="654" customWidth="1"/>
    <col min="11" max="11" width="3.75" style="654" customWidth="1"/>
    <col min="12" max="12" width="16.875" style="654" customWidth="1"/>
    <col min="13" max="13" width="3.75" style="654" customWidth="1"/>
    <col min="14" max="14" width="15" style="654" customWidth="1"/>
    <col min="15" max="15" width="3.75" style="654" customWidth="1"/>
    <col min="16" max="16" width="14.25" style="654" customWidth="1"/>
    <col min="17" max="17" width="3.75" style="654" customWidth="1"/>
    <col min="18" max="18" width="15" style="654" customWidth="1"/>
    <col min="19" max="19" width="11.625" style="654" customWidth="1"/>
    <col min="20" max="20" width="8.375" style="654" customWidth="1"/>
    <col min="21" max="21" width="4.875" style="654" customWidth="1"/>
    <col min="22" max="25" width="9" style="654"/>
    <col min="26" max="26" width="10.875" style="654" customWidth="1"/>
    <col min="27" max="27" width="24" style="654" customWidth="1"/>
    <col min="28" max="28" width="6.5" style="654" customWidth="1"/>
    <col min="29" max="29" width="18" style="654" customWidth="1"/>
    <col min="30" max="16384" width="9" style="654"/>
  </cols>
  <sheetData>
    <row r="1" spans="1:23" s="515" customFormat="1"/>
    <row r="2" spans="1:23" s="515" customFormat="1" ht="28.5">
      <c r="F2" s="1125" t="s">
        <v>865</v>
      </c>
      <c r="I2" s="508"/>
      <c r="J2" s="508"/>
      <c r="K2" s="508"/>
      <c r="L2" s="508"/>
      <c r="N2" s="508"/>
      <c r="O2" s="508"/>
      <c r="P2" s="508"/>
      <c r="Q2" s="508"/>
      <c r="R2" s="508"/>
      <c r="S2" s="508"/>
      <c r="T2" s="508"/>
      <c r="U2" s="508"/>
      <c r="V2" s="508"/>
      <c r="W2" s="508"/>
    </row>
    <row r="3" spans="1:23" s="515" customFormat="1"/>
    <row r="4" spans="1:23" s="503" customFormat="1" hidden="1"/>
    <row r="5" spans="1:23" s="503" customFormat="1" ht="24.75" hidden="1" customHeight="1" thickBot="1"/>
    <row r="6" spans="1:23" s="503" customFormat="1" ht="22.5" hidden="1" customHeight="1" thickBot="1">
      <c r="K6" s="507" t="s">
        <v>517</v>
      </c>
      <c r="L6" s="611">
        <v>-0.25</v>
      </c>
      <c r="P6" s="507" t="s">
        <v>518</v>
      </c>
      <c r="Q6" s="1353">
        <v>10</v>
      </c>
      <c r="R6" s="1354"/>
    </row>
    <row r="7" spans="1:23" s="503" customFormat="1" ht="35.25" hidden="1" customHeight="1" thickBot="1">
      <c r="E7" s="612"/>
      <c r="F7" s="612"/>
      <c r="G7" s="612"/>
      <c r="H7" s="612"/>
      <c r="I7" s="612"/>
      <c r="J7" s="612"/>
      <c r="K7" s="612"/>
      <c r="L7" s="612"/>
      <c r="M7" s="612"/>
      <c r="N7" s="612"/>
      <c r="O7" s="612"/>
      <c r="P7" s="612"/>
      <c r="Q7" s="612"/>
      <c r="R7" s="612"/>
      <c r="S7" s="612"/>
      <c r="T7" s="612"/>
    </row>
    <row r="8" spans="1:23" s="503" customFormat="1" ht="11.25" customHeight="1" thickBot="1">
      <c r="H8" s="613"/>
    </row>
    <row r="9" spans="1:23" s="503" customFormat="1" ht="26.25" customHeight="1" thickBot="1">
      <c r="F9" s="614" t="s">
        <v>1211</v>
      </c>
      <c r="G9" s="615"/>
      <c r="H9" s="615"/>
      <c r="I9" s="615"/>
      <c r="J9" s="615"/>
      <c r="K9" s="615"/>
      <c r="L9" s="615"/>
      <c r="M9" s="615"/>
      <c r="N9" s="615"/>
      <c r="O9" s="615"/>
      <c r="P9" s="615"/>
      <c r="Q9" s="615"/>
      <c r="R9" s="615"/>
      <c r="S9" s="615"/>
      <c r="T9" s="616"/>
    </row>
    <row r="10" spans="1:23" s="503" customFormat="1" ht="11.25" customHeight="1" thickBot="1"/>
    <row r="11" spans="1:23" s="503" customFormat="1" ht="21" customHeight="1" thickBot="1">
      <c r="A11" s="501"/>
      <c r="B11" s="501"/>
      <c r="C11" s="501"/>
      <c r="F11" s="617"/>
      <c r="J11" s="510" t="s">
        <v>1212</v>
      </c>
      <c r="K11" s="510"/>
      <c r="L11" s="1108" t="s">
        <v>1311</v>
      </c>
      <c r="N11" s="618"/>
      <c r="Q11" s="619"/>
    </row>
    <row r="12" spans="1:23" s="617" customFormat="1" ht="36" customHeight="1" thickBot="1">
      <c r="A12" s="974"/>
      <c r="B12" s="974"/>
      <c r="C12" s="974"/>
      <c r="H12" s="1359" t="s">
        <v>1203</v>
      </c>
      <c r="I12" s="1359"/>
      <c r="J12" s="1359"/>
      <c r="L12" s="620" t="s">
        <v>1152</v>
      </c>
      <c r="M12" s="613"/>
      <c r="N12" s="621" t="s">
        <v>232</v>
      </c>
      <c r="O12" s="1356" t="s">
        <v>687</v>
      </c>
      <c r="P12" s="1356"/>
      <c r="Q12" s="1356"/>
      <c r="R12" s="621" t="s">
        <v>870</v>
      </c>
      <c r="T12" s="766"/>
      <c r="U12" s="766"/>
      <c r="V12" s="766"/>
      <c r="W12" s="766"/>
    </row>
    <row r="13" spans="1:23" s="503" customFormat="1" ht="22.5" customHeight="1" thickBot="1">
      <c r="A13" s="501"/>
      <c r="B13" s="501"/>
      <c r="C13" s="501"/>
      <c r="F13" s="510" t="str">
        <f ca="1">IF('Admin Settings'!$J$25="Person 1 only","Person 1 - ABP 1",IF('Admin Settings'!$J$25="Person 2 only","Person 2 - ABP 1","Person 1"))</f>
        <v>Person 1 - ABP 1</v>
      </c>
      <c r="G13" s="501"/>
      <c r="H13" s="1360" t="s">
        <v>18</v>
      </c>
      <c r="I13" s="1361"/>
      <c r="J13" s="1362"/>
      <c r="L13" s="537" t="s">
        <v>1169</v>
      </c>
      <c r="N13" s="537"/>
      <c r="P13" s="538"/>
      <c r="Q13" s="619"/>
      <c r="R13" s="538">
        <v>0</v>
      </c>
      <c r="S13" s="1358" t="s">
        <v>1153</v>
      </c>
      <c r="T13" s="1358"/>
      <c r="U13" s="1358"/>
      <c r="V13" s="1358"/>
      <c r="W13" s="1358"/>
    </row>
    <row r="14" spans="1:23" s="503" customFormat="1" ht="15" customHeight="1" thickBot="1">
      <c r="A14" s="501"/>
      <c r="B14" s="501"/>
      <c r="C14" s="501"/>
      <c r="L14" s="619"/>
      <c r="M14" s="619"/>
      <c r="O14" s="619"/>
      <c r="P14" s="622"/>
      <c r="Q14" s="619"/>
      <c r="S14" s="1358"/>
      <c r="T14" s="1358"/>
      <c r="U14" s="1358"/>
      <c r="V14" s="1358"/>
      <c r="W14" s="1358"/>
    </row>
    <row r="15" spans="1:23" s="503" customFormat="1" ht="22.5" customHeight="1" thickBot="1">
      <c r="A15" s="501"/>
      <c r="B15" s="501"/>
      <c r="C15" s="501"/>
      <c r="F15" s="510" t="str">
        <f ca="1">IF('Admin Settings'!$J$26="Person 1 only","Person 1 - ABP 2",IF('Admin Settings'!$J$26="Person 2 only","Person 2 - ABP 2","Person 2"))</f>
        <v>Person 1 - ABP 2</v>
      </c>
      <c r="H15" s="1360" t="s">
        <v>18</v>
      </c>
      <c r="I15" s="1361"/>
      <c r="J15" s="1362"/>
      <c r="K15" s="623"/>
      <c r="L15" s="537" t="s">
        <v>1169</v>
      </c>
      <c r="N15" s="537"/>
      <c r="O15" s="623"/>
      <c r="P15" s="538">
        <v>0</v>
      </c>
      <c r="Q15" s="619"/>
      <c r="R15" s="538">
        <v>0</v>
      </c>
      <c r="S15" s="1358"/>
      <c r="T15" s="1358"/>
      <c r="U15" s="1358"/>
      <c r="V15" s="1358"/>
      <c r="W15" s="1358"/>
    </row>
    <row r="16" spans="1:23" s="503" customFormat="1" ht="15" customHeight="1" thickBot="1">
      <c r="A16" s="501"/>
      <c r="B16" s="501"/>
      <c r="C16" s="501"/>
      <c r="S16" s="1358"/>
      <c r="T16" s="1358"/>
      <c r="U16" s="1358"/>
      <c r="V16" s="1358"/>
      <c r="W16" s="1358"/>
    </row>
    <row r="17" spans="1:26" s="503" customFormat="1" ht="22.5" customHeight="1" thickBot="1">
      <c r="A17" s="501"/>
      <c r="B17" s="501"/>
      <c r="C17" s="501"/>
      <c r="H17" s="510" t="s">
        <v>896</v>
      </c>
      <c r="J17" s="770" t="s">
        <v>18</v>
      </c>
      <c r="M17" s="623" t="str">
        <f ca="1">IF('Admin Settings'!$J$25="Person 1 only","From ABP 1",IF('Admin Settings'!$J$25="Person 2 only","From ABP 1","Person 1 amount"))</f>
        <v>From ABP 1</v>
      </c>
      <c r="N17" s="1096">
        <v>0</v>
      </c>
      <c r="Q17" s="623" t="str">
        <f ca="1">IF('Admin Settings'!$J$26="Person 1 only","From ABP 2",IF('Admin Settings'!$J$26="Person 2 only","From ABP 2","Person 2 amount"))</f>
        <v>From ABP 2</v>
      </c>
      <c r="R17" s="1096">
        <v>0</v>
      </c>
    </row>
    <row r="18" spans="1:26" s="503" customFormat="1" ht="23.25" customHeight="1" thickBot="1">
      <c r="A18" s="501"/>
      <c r="B18" s="501"/>
      <c r="C18" s="501"/>
      <c r="N18" s="771" t="str">
        <f>IF(PensionBalance1=0,"Max = $0","(Max = "&amp;TEXT(PensionBalance1,"$#,##")&amp;")")</f>
        <v>(Max = $200,000)</v>
      </c>
      <c r="R18" s="771" t="str">
        <f>IF(PensionBalance2=0,"Max = $0","(Max = "&amp;TEXT(PensionBalance2,"$#,##")&amp;")")</f>
        <v>(Max = $150,000)</v>
      </c>
    </row>
    <row r="19" spans="1:26" s="503" customFormat="1" ht="13.5" hidden="1" customHeight="1" thickBot="1">
      <c r="A19" s="501"/>
      <c r="B19" s="501"/>
      <c r="C19" s="501"/>
      <c r="X19" s="624"/>
    </row>
    <row r="20" spans="1:26" s="503" customFormat="1" ht="22.5" hidden="1" customHeight="1" thickBot="1">
      <c r="A20" s="501"/>
      <c r="B20" s="501"/>
      <c r="C20" s="501"/>
      <c r="K20" s="507" t="s">
        <v>516</v>
      </c>
      <c r="L20" s="625" t="s">
        <v>540</v>
      </c>
    </row>
    <row r="21" spans="1:26" s="503" customFormat="1" ht="16.5" hidden="1" customHeight="1" thickBot="1">
      <c r="A21" s="501"/>
      <c r="B21" s="501"/>
      <c r="C21" s="501"/>
    </row>
    <row r="22" spans="1:26" s="503" customFormat="1" ht="26.25" customHeight="1" thickBot="1">
      <c r="A22" s="501"/>
      <c r="B22" s="501"/>
      <c r="C22" s="501"/>
      <c r="F22" s="614" t="s">
        <v>920</v>
      </c>
      <c r="G22" s="615"/>
      <c r="H22" s="615"/>
      <c r="I22" s="615"/>
      <c r="J22" s="615"/>
      <c r="K22" s="615"/>
      <c r="L22" s="615"/>
      <c r="M22" s="615"/>
      <c r="N22" s="615"/>
      <c r="O22" s="615"/>
      <c r="P22" s="615"/>
      <c r="Q22" s="615"/>
      <c r="R22" s="615"/>
      <c r="S22" s="615"/>
      <c r="T22" s="616"/>
    </row>
    <row r="23" spans="1:26" s="503" customFormat="1" ht="11.25" customHeight="1">
      <c r="A23" s="501"/>
      <c r="B23" s="501"/>
      <c r="C23" s="501"/>
    </row>
    <row r="24" spans="1:26" s="503" customFormat="1" ht="45.75" customHeight="1">
      <c r="A24" s="626" t="s">
        <v>935</v>
      </c>
      <c r="B24" s="626" t="s">
        <v>490</v>
      </c>
      <c r="C24" s="641" t="s">
        <v>942</v>
      </c>
      <c r="D24" s="896"/>
      <c r="F24" s="626" t="s">
        <v>664</v>
      </c>
      <c r="G24" s="504"/>
      <c r="H24" s="627" t="s">
        <v>1205</v>
      </c>
      <c r="I24" s="504"/>
      <c r="J24" s="627" t="s">
        <v>557</v>
      </c>
      <c r="K24" s="504"/>
      <c r="L24" s="627" t="s">
        <v>92</v>
      </c>
      <c r="M24" s="504"/>
      <c r="N24" s="628" t="str">
        <f>IF(Relationship="Couple","Withdrawal Guarantee (Person 1)","Withdrawal Guarantee")</f>
        <v>Withdrawal Guarantee (Person 1)</v>
      </c>
      <c r="O24" s="504"/>
      <c r="P24" s="628" t="s">
        <v>682</v>
      </c>
      <c r="T24" s="634" t="s">
        <v>546</v>
      </c>
    </row>
    <row r="25" spans="1:26" s="503" customFormat="1" ht="4.5" customHeight="1" thickBot="1">
      <c r="A25" s="501"/>
      <c r="B25" s="501"/>
      <c r="C25" s="501"/>
      <c r="D25" s="501"/>
      <c r="J25" s="629"/>
      <c r="L25" s="630"/>
      <c r="Z25" s="631"/>
    </row>
    <row r="26" spans="1:26" s="503" customFormat="1" ht="22.5" customHeight="1" thickBot="1">
      <c r="A26" s="632" t="s">
        <v>417</v>
      </c>
      <c r="B26" s="632">
        <v>15</v>
      </c>
      <c r="C26" s="632" t="s">
        <v>18</v>
      </c>
      <c r="D26" s="501"/>
      <c r="F26" s="632" t="s">
        <v>665</v>
      </c>
      <c r="H26" s="655">
        <v>0</v>
      </c>
      <c r="J26" s="657">
        <v>2.1999999999999999E-2</v>
      </c>
      <c r="L26" s="537" t="s">
        <v>414</v>
      </c>
      <c r="N26" s="633">
        <f ca="1">'Age Pension additional calcs'!F4</f>
        <v>0.75</v>
      </c>
      <c r="O26" s="502"/>
      <c r="P26" s="633">
        <f ca="1">'Age Pension additional calcs'!F5</f>
        <v>0.75</v>
      </c>
      <c r="Q26" s="536"/>
      <c r="T26" s="537" t="s">
        <v>18</v>
      </c>
      <c r="W26" s="613"/>
      <c r="Z26" s="510"/>
    </row>
    <row r="27" spans="1:26" s="503" customFormat="1" ht="21" customHeight="1">
      <c r="A27" s="501"/>
      <c r="B27" s="501"/>
      <c r="C27" s="501"/>
      <c r="D27" s="501"/>
      <c r="T27" s="504"/>
      <c r="Z27" s="635"/>
    </row>
    <row r="28" spans="1:26" s="503" customFormat="1" ht="7.5" customHeight="1">
      <c r="A28" s="501"/>
      <c r="B28" s="501"/>
      <c r="C28" s="501"/>
      <c r="D28" s="501"/>
      <c r="H28" s="504"/>
      <c r="I28" s="504"/>
      <c r="J28" s="504"/>
      <c r="K28" s="504"/>
      <c r="L28" s="504"/>
      <c r="M28" s="504"/>
      <c r="N28" s="504"/>
      <c r="O28" s="504"/>
      <c r="P28" s="1357" t="s">
        <v>671</v>
      </c>
      <c r="Q28" s="504"/>
    </row>
    <row r="29" spans="1:26" s="503" customFormat="1" ht="23.25" customHeight="1">
      <c r="A29" s="626" t="s">
        <v>935</v>
      </c>
      <c r="B29" s="626" t="s">
        <v>490</v>
      </c>
      <c r="C29" s="641" t="s">
        <v>942</v>
      </c>
      <c r="D29" s="501"/>
      <c r="H29" s="627" t="s">
        <v>1205</v>
      </c>
      <c r="I29" s="504"/>
      <c r="J29" s="627" t="s">
        <v>557</v>
      </c>
      <c r="K29" s="504"/>
      <c r="L29" s="627" t="s">
        <v>92</v>
      </c>
      <c r="M29" s="636"/>
      <c r="N29" s="626" t="s">
        <v>664</v>
      </c>
      <c r="O29" s="504"/>
      <c r="P29" s="1357"/>
      <c r="Q29" s="504"/>
      <c r="R29" s="627" t="s">
        <v>547</v>
      </c>
      <c r="S29" s="1363" t="s">
        <v>936</v>
      </c>
      <c r="T29" s="1363"/>
      <c r="U29" s="1363"/>
    </row>
    <row r="30" spans="1:26" s="503" customFormat="1" ht="5.25" customHeight="1" thickBot="1">
      <c r="A30" s="501"/>
      <c r="B30" s="501"/>
      <c r="C30" s="501"/>
      <c r="D30" s="501"/>
      <c r="L30" s="630"/>
      <c r="S30" s="1363"/>
      <c r="T30" s="1363"/>
      <c r="U30" s="1363"/>
    </row>
    <row r="31" spans="1:26" s="503" customFormat="1" ht="22.5" customHeight="1" thickBot="1">
      <c r="A31" s="632" t="s">
        <v>417</v>
      </c>
      <c r="B31" s="632">
        <v>15</v>
      </c>
      <c r="C31" s="632" t="s">
        <v>18</v>
      </c>
      <c r="D31" s="501"/>
      <c r="F31" s="510" t="str">
        <f ca="1">IF('Admin Settings'!$J$25="Person 1 only","For ABP 1",IF('Admin Settings'!$J$25="Person 2 only","For ABP 1","Person 1"))</f>
        <v>For ABP 1</v>
      </c>
      <c r="H31" s="538">
        <v>0</v>
      </c>
      <c r="J31" s="539">
        <v>0</v>
      </c>
      <c r="L31" s="537" t="s">
        <v>414</v>
      </c>
      <c r="N31" s="632" t="s">
        <v>665</v>
      </c>
      <c r="P31" s="656">
        <v>0.75</v>
      </c>
      <c r="R31" s="538">
        <v>5000</v>
      </c>
      <c r="S31" s="1363"/>
      <c r="T31" s="1363"/>
      <c r="U31" s="1363"/>
      <c r="V31" s="895"/>
    </row>
    <row r="32" spans="1:26" s="503" customFormat="1" ht="18" customHeight="1" thickBot="1">
      <c r="A32" s="501"/>
      <c r="B32" s="501"/>
      <c r="C32" s="501"/>
      <c r="D32" s="501"/>
      <c r="F32" s="501"/>
      <c r="S32" s="895"/>
      <c r="T32" s="895"/>
      <c r="U32" s="895"/>
      <c r="V32" s="895"/>
    </row>
    <row r="33" spans="1:35" s="503" customFormat="1" ht="22.5" customHeight="1" thickBot="1">
      <c r="A33" s="632" t="s">
        <v>417</v>
      </c>
      <c r="B33" s="632">
        <v>15</v>
      </c>
      <c r="C33" s="632" t="s">
        <v>18</v>
      </c>
      <c r="D33" s="501"/>
      <c r="E33" s="639"/>
      <c r="F33" s="510" t="str">
        <f ca="1">IF('Admin Settings'!$J$26="Person 1 only","For ABP 2",IF('Admin Settings'!$J$26="Person 2 only","For ABP 2","Person 2"))</f>
        <v>For ABP 2</v>
      </c>
      <c r="G33" s="640"/>
      <c r="H33" s="538">
        <v>0</v>
      </c>
      <c r="J33" s="539">
        <v>0</v>
      </c>
      <c r="L33" s="537" t="s">
        <v>414</v>
      </c>
      <c r="N33" s="632" t="s">
        <v>665</v>
      </c>
      <c r="P33" s="656">
        <v>0.75</v>
      </c>
      <c r="R33" s="538">
        <v>5000</v>
      </c>
      <c r="S33" s="1344" t="s">
        <v>936</v>
      </c>
      <c r="T33" s="1344"/>
      <c r="U33" s="1344"/>
    </row>
    <row r="34" spans="1:35" s="503" customFormat="1" ht="13.5" customHeight="1">
      <c r="A34" s="501"/>
      <c r="B34" s="501"/>
      <c r="C34" s="501"/>
      <c r="D34" s="501"/>
      <c r="S34" s="1344"/>
      <c r="T34" s="1344"/>
      <c r="U34" s="1344"/>
    </row>
    <row r="35" spans="1:35" s="503" customFormat="1" ht="18.75" hidden="1" customHeight="1" thickBot="1">
      <c r="A35" s="501"/>
      <c r="B35" s="501"/>
      <c r="C35" s="501"/>
      <c r="D35" s="501"/>
    </row>
    <row r="36" spans="1:35" s="503" customFormat="1" ht="26.25" hidden="1" customHeight="1" thickBot="1">
      <c r="A36" s="501"/>
      <c r="B36" s="501"/>
      <c r="C36" s="501"/>
      <c r="D36" s="501"/>
      <c r="F36" s="614" t="s">
        <v>924</v>
      </c>
      <c r="G36" s="615"/>
      <c r="H36" s="615"/>
      <c r="I36" s="615"/>
      <c r="J36" s="615"/>
      <c r="K36" s="615"/>
      <c r="L36" s="615"/>
      <c r="M36" s="615"/>
      <c r="N36" s="615"/>
      <c r="O36" s="615"/>
      <c r="P36" s="615"/>
      <c r="Q36" s="615"/>
      <c r="R36" s="615"/>
      <c r="S36" s="615"/>
      <c r="T36" s="616"/>
    </row>
    <row r="37" spans="1:35" s="503" customFormat="1" hidden="1">
      <c r="A37" s="501"/>
      <c r="B37" s="501"/>
      <c r="C37" s="501"/>
      <c r="D37" s="501"/>
    </row>
    <row r="38" spans="1:35" s="503" customFormat="1" hidden="1">
      <c r="A38" s="501"/>
      <c r="B38" s="501"/>
      <c r="C38" s="501"/>
      <c r="D38" s="501"/>
      <c r="F38" s="627" t="s">
        <v>189</v>
      </c>
      <c r="H38" s="627" t="s">
        <v>566</v>
      </c>
      <c r="I38" s="504"/>
      <c r="J38" s="627" t="s">
        <v>557</v>
      </c>
      <c r="L38" s="629" t="s">
        <v>92</v>
      </c>
      <c r="M38" s="501"/>
      <c r="N38" s="629" t="s">
        <v>519</v>
      </c>
      <c r="P38" s="641" t="s">
        <v>929</v>
      </c>
      <c r="S38" s="501"/>
      <c r="T38" s="501"/>
      <c r="U38" s="501"/>
      <c r="V38" s="501"/>
      <c r="W38" s="501"/>
    </row>
    <row r="39" spans="1:35" s="503" customFormat="1" ht="4.5" hidden="1" customHeight="1" thickBot="1">
      <c r="A39" s="501"/>
      <c r="B39" s="501"/>
      <c r="C39" s="501"/>
      <c r="D39" s="501"/>
      <c r="J39" s="629"/>
      <c r="R39" s="1355" t="str">
        <f ca="1">IF('Admin Settings'!N90="Y","","! Payments do not meet super minimum requirements. Change product options.")</f>
        <v/>
      </c>
      <c r="S39" s="1355"/>
      <c r="T39" s="1355"/>
      <c r="U39" s="1355"/>
      <c r="V39" s="501"/>
      <c r="W39" s="501"/>
      <c r="AE39" s="501"/>
    </row>
    <row r="40" spans="1:35" s="503" customFormat="1" ht="22.5" hidden="1" customHeight="1" thickBot="1">
      <c r="A40" s="501"/>
      <c r="B40" s="501"/>
      <c r="C40" s="501"/>
      <c r="D40" s="501"/>
      <c r="F40" s="633">
        <v>0</v>
      </c>
      <c r="H40" s="655">
        <v>0</v>
      </c>
      <c r="J40" s="890">
        <v>0</v>
      </c>
      <c r="L40" s="868" t="s">
        <v>414</v>
      </c>
      <c r="N40" s="869" t="s">
        <v>18</v>
      </c>
      <c r="P40" s="869">
        <v>15</v>
      </c>
      <c r="Q40" s="510"/>
      <c r="R40" s="1355"/>
      <c r="S40" s="1355"/>
      <c r="T40" s="1355"/>
      <c r="U40" s="1355"/>
      <c r="AE40" s="501"/>
    </row>
    <row r="41" spans="1:35" s="503" customFormat="1" ht="15" hidden="1" customHeight="1">
      <c r="A41" s="501"/>
      <c r="B41" s="501"/>
      <c r="C41" s="501"/>
      <c r="D41" s="501"/>
      <c r="P41" s="510"/>
      <c r="Q41" s="510"/>
      <c r="R41" s="500"/>
      <c r="S41" s="500"/>
      <c r="AE41" s="501"/>
      <c r="AF41" s="501"/>
      <c r="AG41" s="501"/>
      <c r="AH41" s="501"/>
      <c r="AI41" s="501"/>
    </row>
    <row r="42" spans="1:35" s="503" customFormat="1" ht="13.5" hidden="1" customHeight="1">
      <c r="A42" s="501"/>
      <c r="B42" s="501"/>
      <c r="C42" s="501"/>
      <c r="D42" s="501"/>
      <c r="P42" s="510" t="s">
        <v>930</v>
      </c>
      <c r="Q42" s="501"/>
      <c r="S42" s="501"/>
      <c r="AE42" s="501"/>
    </row>
    <row r="43" spans="1:35" s="503" customFormat="1" ht="4.5" hidden="1" customHeight="1" thickBot="1">
      <c r="A43" s="501"/>
      <c r="B43" s="501"/>
      <c r="C43" s="501"/>
      <c r="D43" s="501"/>
      <c r="P43" s="642"/>
      <c r="Q43" s="510"/>
      <c r="R43" s="1355" t="str">
        <f ca="1">IF('Admin Settings'!N91="Y","","! Payments do not meet super minimum requirements. Change product options.")</f>
        <v/>
      </c>
      <c r="S43" s="1355"/>
      <c r="T43" s="1355"/>
      <c r="U43" s="1355"/>
      <c r="AE43" s="501"/>
    </row>
    <row r="44" spans="1:35" s="503" customFormat="1" ht="22.5" hidden="1" customHeight="1" thickBot="1">
      <c r="A44" s="501"/>
      <c r="B44" s="501"/>
      <c r="C44" s="501"/>
      <c r="D44" s="501"/>
      <c r="P44" s="869">
        <v>1</v>
      </c>
      <c r="Q44" s="510"/>
      <c r="R44" s="1355"/>
      <c r="S44" s="1355"/>
      <c r="T44" s="1355"/>
      <c r="U44" s="1355"/>
    </row>
    <row r="45" spans="1:35" s="503" customFormat="1" ht="16.5" hidden="1" thickBot="1">
      <c r="A45" s="501"/>
      <c r="B45" s="501"/>
      <c r="C45" s="501"/>
      <c r="D45" s="501"/>
      <c r="J45" s="643"/>
      <c r="L45" s="509"/>
      <c r="M45" s="509"/>
      <c r="N45" s="643"/>
      <c r="O45" s="501"/>
      <c r="P45" s="501"/>
      <c r="T45" s="501"/>
      <c r="U45" s="501"/>
      <c r="V45" s="501"/>
      <c r="W45" s="501"/>
    </row>
    <row r="46" spans="1:35" s="503" customFormat="1" ht="23.25" hidden="1" customHeight="1" thickBot="1">
      <c r="A46" s="501"/>
      <c r="B46" s="501"/>
      <c r="C46" s="501"/>
      <c r="D46" s="501"/>
      <c r="O46" s="500"/>
      <c r="P46" s="501"/>
      <c r="Q46" s="501"/>
      <c r="S46" s="634" t="s">
        <v>546</v>
      </c>
      <c r="T46" s="537" t="s">
        <v>18</v>
      </c>
      <c r="V46" s="501"/>
      <c r="W46" s="501"/>
    </row>
    <row r="47" spans="1:35" s="503" customFormat="1" ht="23.25" hidden="1" customHeight="1">
      <c r="A47" s="501"/>
      <c r="B47" s="501"/>
      <c r="C47" s="501"/>
      <c r="D47" s="501"/>
      <c r="O47" s="500"/>
      <c r="P47" s="501"/>
      <c r="Q47" s="501"/>
      <c r="T47" s="501"/>
      <c r="V47" s="501"/>
      <c r="W47" s="501"/>
    </row>
    <row r="48" spans="1:35" s="503" customFormat="1" ht="23.25" hidden="1" customHeight="1">
      <c r="A48" s="501"/>
      <c r="B48" s="501"/>
      <c r="C48" s="501"/>
      <c r="D48" s="501"/>
      <c r="H48" s="504"/>
      <c r="I48" s="504"/>
      <c r="J48" s="504"/>
      <c r="K48" s="504"/>
      <c r="L48" s="504"/>
      <c r="M48" s="504"/>
      <c r="N48" s="504"/>
      <c r="O48" s="504"/>
      <c r="P48" s="1357" t="s">
        <v>933</v>
      </c>
      <c r="Q48" s="504"/>
      <c r="R48" s="504"/>
      <c r="V48" s="501"/>
      <c r="W48" s="501"/>
    </row>
    <row r="49" spans="1:23" s="503" customFormat="1" ht="23.25" hidden="1" customHeight="1">
      <c r="A49" s="501"/>
      <c r="B49" s="501"/>
      <c r="C49" s="501"/>
      <c r="D49" s="501"/>
      <c r="F49" s="627" t="s">
        <v>189</v>
      </c>
      <c r="H49" s="627" t="s">
        <v>566</v>
      </c>
      <c r="I49" s="504"/>
      <c r="J49" s="627" t="s">
        <v>557</v>
      </c>
      <c r="K49" s="504"/>
      <c r="L49" s="627" t="s">
        <v>92</v>
      </c>
      <c r="M49" s="636"/>
      <c r="N49" s="627" t="s">
        <v>66</v>
      </c>
      <c r="O49" s="504"/>
      <c r="P49" s="1357"/>
      <c r="Q49" s="504"/>
      <c r="R49" s="627" t="s">
        <v>547</v>
      </c>
      <c r="S49" s="637"/>
      <c r="T49" s="637"/>
      <c r="U49" s="638"/>
      <c r="V49" s="629" t="s">
        <v>519</v>
      </c>
      <c r="W49" s="501"/>
    </row>
    <row r="50" spans="1:23" s="503" customFormat="1" ht="6" hidden="1" customHeight="1" thickBot="1">
      <c r="A50" s="501"/>
      <c r="B50" s="501"/>
      <c r="C50" s="501"/>
      <c r="D50" s="501"/>
      <c r="L50" s="630"/>
      <c r="W50" s="501"/>
    </row>
    <row r="51" spans="1:23" s="503" customFormat="1" ht="23.25" hidden="1" customHeight="1" thickBot="1">
      <c r="A51" s="501"/>
      <c r="B51" s="501"/>
      <c r="C51" s="501"/>
      <c r="D51" s="501"/>
      <c r="E51" s="510" t="s">
        <v>509</v>
      </c>
      <c r="F51" s="870">
        <v>0</v>
      </c>
      <c r="H51" s="538">
        <v>0</v>
      </c>
      <c r="J51" s="539">
        <v>2.1999999999999999E-2</v>
      </c>
      <c r="L51" s="868" t="s">
        <v>414</v>
      </c>
      <c r="N51" s="869">
        <v>1</v>
      </c>
      <c r="P51" s="975">
        <v>0.04</v>
      </c>
      <c r="R51" s="538">
        <v>5113</v>
      </c>
      <c r="S51" s="1344" t="s">
        <v>683</v>
      </c>
      <c r="T51" s="1344"/>
      <c r="U51" s="1344"/>
      <c r="V51" s="869" t="s">
        <v>18</v>
      </c>
      <c r="W51" s="501"/>
    </row>
    <row r="52" spans="1:23" s="503" customFormat="1" ht="18" hidden="1" customHeight="1" thickBot="1">
      <c r="A52" s="501"/>
      <c r="B52" s="501"/>
      <c r="C52" s="501"/>
      <c r="D52" s="501"/>
      <c r="E52" s="501"/>
      <c r="S52" s="1344"/>
      <c r="T52" s="1344"/>
      <c r="U52" s="1344"/>
      <c r="V52" s="501"/>
      <c r="W52" s="501"/>
    </row>
    <row r="53" spans="1:23" s="503" customFormat="1" ht="23.25" hidden="1" customHeight="1" thickBot="1">
      <c r="A53" s="501"/>
      <c r="B53" s="501"/>
      <c r="C53" s="501"/>
      <c r="D53" s="501"/>
      <c r="E53" s="510" t="s">
        <v>544</v>
      </c>
      <c r="F53" s="870">
        <v>0</v>
      </c>
      <c r="G53" s="640"/>
      <c r="H53" s="538">
        <v>0</v>
      </c>
      <c r="J53" s="539">
        <v>2.1999999999999999E-2</v>
      </c>
      <c r="L53" s="868" t="s">
        <v>414</v>
      </c>
      <c r="N53" s="869">
        <v>1</v>
      </c>
      <c r="P53" s="975">
        <v>0.04</v>
      </c>
      <c r="R53" s="538">
        <v>4522</v>
      </c>
      <c r="S53" s="1344" t="s">
        <v>684</v>
      </c>
      <c r="T53" s="1344"/>
      <c r="U53" s="1344"/>
      <c r="V53" s="869" t="s">
        <v>18</v>
      </c>
      <c r="W53" s="501"/>
    </row>
    <row r="54" spans="1:23" s="503" customFormat="1" ht="23.25" hidden="1" customHeight="1">
      <c r="A54" s="501"/>
      <c r="B54" s="501"/>
      <c r="C54" s="501"/>
      <c r="D54" s="501"/>
      <c r="S54" s="1344"/>
      <c r="T54" s="1344"/>
      <c r="U54" s="1344"/>
      <c r="V54" s="501"/>
      <c r="W54" s="501"/>
    </row>
    <row r="55" spans="1:23" s="503" customFormat="1" hidden="1">
      <c r="A55" s="501"/>
      <c r="B55" s="501"/>
      <c r="C55" s="501"/>
      <c r="D55" s="501"/>
    </row>
    <row r="56" spans="1:23" s="503" customFormat="1" ht="14.25" customHeight="1" thickBot="1">
      <c r="A56" s="501"/>
      <c r="B56" s="501"/>
      <c r="C56" s="501"/>
    </row>
    <row r="57" spans="1:23" s="503" customFormat="1" ht="26.25" customHeight="1" thickBot="1">
      <c r="A57" s="501"/>
      <c r="B57" s="501"/>
      <c r="C57" s="501"/>
      <c r="F57" s="1348" t="s">
        <v>921</v>
      </c>
      <c r="G57" s="1349"/>
      <c r="H57" s="1349"/>
      <c r="I57" s="1349"/>
      <c r="J57" s="1349"/>
      <c r="K57" s="1349"/>
      <c r="L57" s="1349"/>
      <c r="M57" s="1349"/>
      <c r="N57" s="1349"/>
      <c r="O57" s="1349"/>
      <c r="P57" s="1349"/>
      <c r="Q57" s="1349"/>
      <c r="R57" s="1349"/>
      <c r="S57" s="1349"/>
      <c r="T57" s="1350"/>
    </row>
    <row r="58" spans="1:23" s="503" customFormat="1" ht="11.25" customHeight="1" thickBot="1">
      <c r="A58" s="501"/>
      <c r="B58" s="501"/>
      <c r="C58" s="501"/>
      <c r="F58" s="644"/>
    </row>
    <row r="59" spans="1:23" s="503" customFormat="1" ht="22.5" customHeight="1" thickBot="1">
      <c r="A59" s="501"/>
      <c r="B59" s="501"/>
      <c r="C59" s="501"/>
      <c r="H59" s="613"/>
      <c r="I59" s="649" t="s">
        <v>922</v>
      </c>
      <c r="J59" s="690">
        <v>0.03</v>
      </c>
      <c r="L59" s="510" t="s">
        <v>895</v>
      </c>
      <c r="M59" s="510"/>
      <c r="N59" s="770" t="s">
        <v>1310</v>
      </c>
    </row>
    <row r="60" spans="1:23" s="503" customFormat="1" ht="23.25" customHeight="1" thickBot="1">
      <c r="A60" s="501"/>
      <c r="B60" s="501"/>
      <c r="C60" s="501"/>
      <c r="H60" s="613"/>
    </row>
    <row r="61" spans="1:23" s="503" customFormat="1" ht="26.25" customHeight="1" thickBot="1">
      <c r="A61" s="501"/>
      <c r="B61" s="501"/>
      <c r="C61" s="501"/>
      <c r="F61" s="1348" t="s">
        <v>893</v>
      </c>
      <c r="G61" s="1349"/>
      <c r="H61" s="1349"/>
      <c r="I61" s="1349"/>
      <c r="J61" s="1349"/>
      <c r="K61" s="1349"/>
      <c r="L61" s="1349"/>
      <c r="M61" s="1349"/>
      <c r="N61" s="1349"/>
      <c r="O61" s="1349"/>
      <c r="P61" s="1349"/>
      <c r="Q61" s="1349"/>
      <c r="R61" s="1349"/>
      <c r="S61" s="1349"/>
      <c r="T61" s="1350"/>
    </row>
    <row r="62" spans="1:23" s="503" customFormat="1" ht="19.5" thickBot="1">
      <c r="A62" s="501"/>
      <c r="B62" s="501"/>
      <c r="C62" s="501"/>
      <c r="F62" s="644"/>
    </row>
    <row r="63" spans="1:23" s="503" customFormat="1" ht="22.5" customHeight="1" thickBot="1">
      <c r="A63" s="501"/>
      <c r="B63" s="501"/>
      <c r="C63" s="501"/>
      <c r="I63" s="645" t="s">
        <v>663</v>
      </c>
      <c r="J63" s="516">
        <v>2.5000000000000001E-2</v>
      </c>
    </row>
    <row r="64" spans="1:23" s="503" customFormat="1">
      <c r="A64" s="501"/>
      <c r="B64" s="501"/>
      <c r="C64" s="501"/>
    </row>
    <row r="65" spans="6:20" s="503" customFormat="1" ht="18.75">
      <c r="F65" s="646" t="s">
        <v>919</v>
      </c>
      <c r="G65" s="647"/>
      <c r="H65" s="647"/>
      <c r="I65" s="647"/>
      <c r="J65" s="647"/>
      <c r="K65" s="647"/>
      <c r="L65" s="647"/>
      <c r="M65" s="647"/>
      <c r="N65" s="647"/>
      <c r="O65" s="647"/>
      <c r="P65" s="647"/>
      <c r="Q65" s="647"/>
      <c r="R65" s="647"/>
      <c r="S65" s="647"/>
      <c r="T65" s="647"/>
    </row>
    <row r="66" spans="6:20" s="503" customFormat="1" ht="16.5" thickBot="1"/>
    <row r="67" spans="6:20" s="503" customFormat="1" ht="22.5" customHeight="1" thickBot="1">
      <c r="H67" s="648"/>
      <c r="I67" s="649" t="s">
        <v>556</v>
      </c>
      <c r="J67" s="517">
        <v>0</v>
      </c>
      <c r="K67" s="624"/>
      <c r="L67" s="624"/>
      <c r="M67" s="649" t="s">
        <v>555</v>
      </c>
      <c r="N67" s="518" t="s">
        <v>18</v>
      </c>
      <c r="O67" s="624"/>
      <c r="P67" s="624"/>
    </row>
    <row r="68" spans="6:20" s="503" customFormat="1" ht="11.25" customHeight="1" thickBot="1">
      <c r="H68" s="650"/>
      <c r="I68" s="648"/>
      <c r="J68" s="624"/>
      <c r="K68" s="624"/>
      <c r="L68" s="624"/>
      <c r="M68" s="624"/>
      <c r="N68" s="624"/>
      <c r="O68" s="624"/>
      <c r="P68" s="624"/>
    </row>
    <row r="69" spans="6:20" s="503" customFormat="1" ht="22.5" customHeight="1" thickBot="1">
      <c r="H69" s="648"/>
      <c r="I69" s="649" t="s">
        <v>552</v>
      </c>
      <c r="J69" s="516">
        <v>5.0000000000000001E-3</v>
      </c>
      <c r="K69" s="624"/>
      <c r="L69" s="624"/>
      <c r="M69" s="624"/>
      <c r="N69" s="624"/>
      <c r="O69" s="624"/>
      <c r="P69" s="624"/>
    </row>
    <row r="70" spans="6:20" s="503" customFormat="1" ht="11.25" customHeight="1" thickBot="1">
      <c r="H70" s="650"/>
      <c r="I70" s="648"/>
      <c r="J70" s="624"/>
      <c r="K70" s="624"/>
      <c r="L70" s="624"/>
      <c r="M70" s="624"/>
      <c r="N70" s="624"/>
      <c r="O70" s="624"/>
      <c r="P70" s="624"/>
    </row>
    <row r="71" spans="6:20" s="503" customFormat="1" ht="22.5" customHeight="1" thickBot="1">
      <c r="H71" s="648"/>
      <c r="I71" s="649" t="s">
        <v>553</v>
      </c>
      <c r="J71" s="516">
        <v>8.0000000000000002E-3</v>
      </c>
      <c r="K71" s="624"/>
      <c r="L71" s="651"/>
      <c r="M71" s="650" t="s">
        <v>428</v>
      </c>
      <c r="N71" s="652">
        <f>J71+J69</f>
        <v>1.3000000000000001E-2</v>
      </c>
    </row>
    <row r="72" spans="6:20" s="503" customFormat="1" ht="11.25" customHeight="1" thickBot="1">
      <c r="H72" s="650"/>
      <c r="I72" s="648"/>
      <c r="J72" s="624"/>
      <c r="K72" s="624"/>
      <c r="L72" s="624"/>
      <c r="M72" s="624"/>
      <c r="N72" s="624"/>
      <c r="O72" s="624"/>
      <c r="P72" s="624"/>
    </row>
    <row r="73" spans="6:20" s="503" customFormat="1" ht="22.5" customHeight="1" thickBot="1">
      <c r="H73" s="650"/>
      <c r="I73" s="649" t="s">
        <v>554</v>
      </c>
      <c r="J73" s="855">
        <v>3.5000000000000001E-3</v>
      </c>
      <c r="K73" s="624"/>
      <c r="L73" s="624"/>
      <c r="M73" s="650" t="s">
        <v>427</v>
      </c>
      <c r="N73" s="652">
        <f>J73+J69</f>
        <v>8.5000000000000006E-3</v>
      </c>
    </row>
    <row r="74" spans="6:20" s="503" customFormat="1">
      <c r="H74" s="653"/>
    </row>
    <row r="75" spans="6:20" s="503" customFormat="1" ht="18.75">
      <c r="F75" s="646" t="s">
        <v>885</v>
      </c>
      <c r="G75" s="647"/>
      <c r="H75" s="647"/>
      <c r="I75" s="647"/>
      <c r="J75" s="647"/>
      <c r="K75" s="647"/>
      <c r="L75" s="647"/>
      <c r="M75" s="647"/>
      <c r="N75" s="647"/>
      <c r="O75" s="647"/>
      <c r="P75" s="647"/>
      <c r="Q75" s="647"/>
      <c r="R75" s="647"/>
      <c r="S75" s="647"/>
      <c r="T75" s="647"/>
    </row>
    <row r="76" spans="6:20" s="503" customFormat="1" ht="16.5" customHeight="1" thickBot="1">
      <c r="G76" s="1351" t="s">
        <v>1220</v>
      </c>
      <c r="H76" s="1351"/>
      <c r="I76" s="1351"/>
      <c r="K76" s="1351" t="s">
        <v>1221</v>
      </c>
      <c r="L76" s="1351"/>
      <c r="M76" s="1351"/>
    </row>
    <row r="77" spans="6:20" s="503" customFormat="1" ht="22.5" customHeight="1" thickBot="1">
      <c r="G77" s="1352"/>
      <c r="H77" s="1352"/>
      <c r="I77" s="1352"/>
      <c r="J77" s="690">
        <v>0.04</v>
      </c>
      <c r="K77" s="1352"/>
      <c r="L77" s="1352"/>
      <c r="M77" s="1352"/>
      <c r="N77" s="690">
        <v>7.0000000000000007E-2</v>
      </c>
    </row>
    <row r="78" spans="6:20" s="503" customFormat="1" ht="11.25" customHeight="1" thickBot="1"/>
    <row r="79" spans="6:20" s="503" customFormat="1" ht="22.5" customHeight="1" thickBot="1">
      <c r="H79" s="653"/>
      <c r="I79" s="649" t="s">
        <v>197</v>
      </c>
      <c r="J79" s="690">
        <f>-J63</f>
        <v>-2.5000000000000001E-2</v>
      </c>
      <c r="M79" s="649" t="s">
        <v>568</v>
      </c>
      <c r="N79" s="690">
        <f>J63</f>
        <v>2.5000000000000001E-2</v>
      </c>
    </row>
    <row r="80" spans="6:20" s="503" customFormat="1" ht="11.25" customHeight="1" thickBot="1">
      <c r="H80" s="653"/>
      <c r="I80" s="648"/>
      <c r="J80" s="624"/>
    </row>
    <row r="81" spans="1:20" s="503" customFormat="1" ht="22.5" customHeight="1" thickBot="1">
      <c r="I81" s="649" t="s">
        <v>686</v>
      </c>
      <c r="J81" s="690">
        <f>J63</f>
        <v>2.5000000000000001E-2</v>
      </c>
      <c r="M81" s="649" t="s">
        <v>685</v>
      </c>
      <c r="N81" s="690">
        <f>J63</f>
        <v>2.5000000000000001E-2</v>
      </c>
    </row>
    <row r="82" spans="1:20" s="503" customFormat="1" ht="11.25" customHeight="1" thickBot="1"/>
    <row r="83" spans="1:20" s="503" customFormat="1" ht="22.5" customHeight="1" thickBot="1">
      <c r="I83" s="649" t="s">
        <v>645</v>
      </c>
      <c r="J83" s="690">
        <f>J63</f>
        <v>2.5000000000000001E-2</v>
      </c>
      <c r="M83" s="649" t="s">
        <v>166</v>
      </c>
      <c r="N83" s="690">
        <f>J63</f>
        <v>2.5000000000000001E-2</v>
      </c>
    </row>
    <row r="84" spans="1:20" s="503" customFormat="1"/>
    <row r="85" spans="1:20" s="503" customFormat="1"/>
    <row r="86" spans="1:20" s="503" customFormat="1" ht="18.75">
      <c r="F86" s="646" t="s">
        <v>1247</v>
      </c>
      <c r="G86" s="647"/>
      <c r="H86" s="647"/>
      <c r="I86" s="647"/>
      <c r="J86" s="647"/>
      <c r="K86" s="647"/>
      <c r="L86" s="647"/>
      <c r="M86" s="647"/>
      <c r="N86" s="647"/>
      <c r="O86" s="647"/>
      <c r="P86" s="647"/>
      <c r="Q86" s="647"/>
      <c r="R86" s="647"/>
      <c r="S86" s="647"/>
      <c r="T86" s="647"/>
    </row>
    <row r="87" spans="1:20" s="503" customFormat="1" ht="16.5" thickBot="1">
      <c r="A87" s="1345" t="s">
        <v>543</v>
      </c>
      <c r="B87" s="1345" t="s">
        <v>931</v>
      </c>
      <c r="C87" s="1345" t="s">
        <v>557</v>
      </c>
    </row>
    <row r="88" spans="1:20" s="503" customFormat="1" ht="22.5" customHeight="1" thickBot="1">
      <c r="A88" s="1345"/>
      <c r="B88" s="1345"/>
      <c r="C88" s="1345"/>
      <c r="K88" s="649" t="s">
        <v>1254</v>
      </c>
      <c r="L88" s="1108" t="s">
        <v>17</v>
      </c>
    </row>
    <row r="89" spans="1:20" s="503" customFormat="1">
      <c r="A89" s="1345"/>
      <c r="B89" s="1345"/>
      <c r="C89" s="1345"/>
    </row>
    <row r="90" spans="1:20" s="503" customFormat="1">
      <c r="A90" s="1345"/>
      <c r="B90" s="1345"/>
      <c r="C90" s="1345"/>
    </row>
    <row r="91" spans="1:20" s="503" customFormat="1">
      <c r="A91" s="1346"/>
      <c r="B91" s="1347"/>
      <c r="C91" s="1347"/>
    </row>
    <row r="92" spans="1:20" s="503" customFormat="1">
      <c r="A92" s="897"/>
      <c r="B92" s="899">
        <v>0</v>
      </c>
      <c r="C92" s="1109">
        <v>0</v>
      </c>
    </row>
    <row r="93" spans="1:20" s="503" customFormat="1">
      <c r="A93" s="898">
        <v>31.02</v>
      </c>
      <c r="B93" s="899">
        <v>1</v>
      </c>
      <c r="C93" s="1109">
        <v>2.1999999999999999E-2</v>
      </c>
    </row>
    <row r="94" spans="1:20" s="503" customFormat="1">
      <c r="A94" s="898">
        <v>30.53</v>
      </c>
      <c r="B94" s="899">
        <v>0.99</v>
      </c>
      <c r="C94" s="1109">
        <v>2.1899999999999999E-2</v>
      </c>
    </row>
    <row r="95" spans="1:20" s="503" customFormat="1">
      <c r="A95" s="898">
        <v>30.1</v>
      </c>
      <c r="B95" s="899">
        <v>0.98</v>
      </c>
      <c r="C95" s="1109">
        <v>2.18E-2</v>
      </c>
    </row>
    <row r="96" spans="1:20" s="503" customFormat="1" ht="15" customHeight="1">
      <c r="A96" s="898">
        <v>29.91</v>
      </c>
      <c r="B96" s="899">
        <v>0.97</v>
      </c>
      <c r="C96" s="1109">
        <v>2.1700000000000001E-2</v>
      </c>
    </row>
    <row r="97" spans="1:3" s="503" customFormat="1">
      <c r="A97" s="898">
        <v>29.61</v>
      </c>
      <c r="B97" s="899">
        <v>0.96</v>
      </c>
      <c r="C97" s="1109">
        <v>2.1600000000000001E-2</v>
      </c>
    </row>
    <row r="98" spans="1:3" s="503" customFormat="1">
      <c r="A98" s="898">
        <v>29.19</v>
      </c>
      <c r="B98" s="899">
        <v>0.95</v>
      </c>
      <c r="C98" s="1109">
        <v>2.1499999999999998E-2</v>
      </c>
    </row>
    <row r="99" spans="1:3" s="503" customFormat="1">
      <c r="A99" s="898">
        <v>29</v>
      </c>
      <c r="B99" s="899">
        <v>0.94</v>
      </c>
      <c r="C99" s="1109">
        <v>2.1399999999999999E-2</v>
      </c>
    </row>
    <row r="100" spans="1:3" s="503" customFormat="1">
      <c r="A100" s="898">
        <v>28.7</v>
      </c>
      <c r="B100" s="899">
        <v>0.93</v>
      </c>
      <c r="C100" s="1109">
        <v>2.1299999999999999E-2</v>
      </c>
    </row>
    <row r="101" spans="1:3" s="503" customFormat="1">
      <c r="A101" s="898">
        <v>28.28</v>
      </c>
      <c r="B101" s="899">
        <v>0.92</v>
      </c>
      <c r="C101" s="1109">
        <v>2.12E-2</v>
      </c>
    </row>
    <row r="102" spans="1:3" s="503" customFormat="1">
      <c r="A102" s="898">
        <v>28.1</v>
      </c>
      <c r="B102" s="899">
        <v>0.91</v>
      </c>
      <c r="C102" s="1109">
        <v>2.1100000000000001E-2</v>
      </c>
    </row>
    <row r="103" spans="1:3" s="503" customFormat="1">
      <c r="A103" s="898">
        <v>27.79</v>
      </c>
      <c r="B103" s="899">
        <v>0.9</v>
      </c>
      <c r="C103" s="1109">
        <v>2.1000000000000001E-2</v>
      </c>
    </row>
    <row r="104" spans="1:3" s="503" customFormat="1">
      <c r="A104" s="898">
        <v>27.71</v>
      </c>
      <c r="B104" s="899">
        <v>0.89</v>
      </c>
      <c r="C104" s="1109">
        <v>2.0899999999999998E-2</v>
      </c>
    </row>
    <row r="105" spans="1:3" s="503" customFormat="1">
      <c r="A105" s="898">
        <v>27.37</v>
      </c>
      <c r="B105" s="899">
        <v>0.88</v>
      </c>
      <c r="C105" s="1109">
        <v>2.0799999999999999E-2</v>
      </c>
    </row>
    <row r="106" spans="1:3" s="503" customFormat="1">
      <c r="A106" s="898">
        <v>27.21</v>
      </c>
      <c r="B106" s="899">
        <v>0.87</v>
      </c>
      <c r="C106" s="1109">
        <v>2.07E-2</v>
      </c>
    </row>
    <row r="107" spans="1:3" s="503" customFormat="1">
      <c r="A107" s="898">
        <v>26.95</v>
      </c>
      <c r="B107" s="899">
        <v>0.86</v>
      </c>
      <c r="C107" s="1109">
        <v>2.06E-2</v>
      </c>
    </row>
    <row r="108" spans="1:3" s="503" customFormat="1">
      <c r="A108" s="898">
        <v>26.89</v>
      </c>
      <c r="B108" s="899">
        <v>0.85</v>
      </c>
      <c r="C108" s="1109">
        <v>2.0500000000000001E-2</v>
      </c>
    </row>
    <row r="109" spans="1:3" s="503" customFormat="1">
      <c r="A109" s="898">
        <v>26.83</v>
      </c>
      <c r="B109" s="899">
        <v>0.84</v>
      </c>
      <c r="C109" s="1109">
        <v>2.0400000000000001E-2</v>
      </c>
    </row>
    <row r="110" spans="1:3" s="503" customFormat="1">
      <c r="A110" s="898">
        <v>26.47</v>
      </c>
      <c r="B110" s="899">
        <v>0.83</v>
      </c>
      <c r="C110" s="1109">
        <v>2.0299999999999999E-2</v>
      </c>
    </row>
    <row r="111" spans="1:3" s="503" customFormat="1">
      <c r="A111" s="898">
        <v>26.32</v>
      </c>
      <c r="B111" s="899">
        <v>0.82</v>
      </c>
      <c r="C111" s="1109">
        <v>2.0199999999999999E-2</v>
      </c>
    </row>
    <row r="112" spans="1:3" s="503" customFormat="1">
      <c r="A112" s="898">
        <v>26.08</v>
      </c>
      <c r="B112" s="899">
        <v>0.81</v>
      </c>
      <c r="C112" s="1109">
        <v>2.01E-2</v>
      </c>
    </row>
    <row r="113" spans="1:3" s="503" customFormat="1">
      <c r="A113" s="898">
        <v>26</v>
      </c>
      <c r="B113" s="899">
        <v>0.8</v>
      </c>
      <c r="C113" s="1109">
        <v>0.02</v>
      </c>
    </row>
    <row r="114" spans="1:3" s="503" customFormat="1">
      <c r="A114" s="898">
        <v>25.95</v>
      </c>
      <c r="B114" s="899">
        <v>0.79</v>
      </c>
      <c r="C114" s="1109">
        <v>1.9900000000000001E-2</v>
      </c>
    </row>
    <row r="115" spans="1:3" s="503" customFormat="1">
      <c r="A115" s="898">
        <v>25.92</v>
      </c>
      <c r="B115" s="899">
        <v>0.78</v>
      </c>
      <c r="C115" s="1109">
        <v>1.9800000000000002E-2</v>
      </c>
    </row>
    <row r="116" spans="1:3" s="503" customFormat="1">
      <c r="A116" s="898">
        <v>25.57</v>
      </c>
      <c r="B116" s="899">
        <v>0.77</v>
      </c>
      <c r="C116" s="1109">
        <v>1.9699999999999999E-2</v>
      </c>
    </row>
    <row r="117" spans="1:3" s="503" customFormat="1">
      <c r="A117" s="898">
        <v>25.44</v>
      </c>
      <c r="B117" s="899">
        <v>0.76</v>
      </c>
      <c r="C117" s="1109">
        <v>1.9599999999999999E-2</v>
      </c>
    </row>
    <row r="118" spans="1:3" s="503" customFormat="1">
      <c r="A118" s="898">
        <v>25.2</v>
      </c>
      <c r="B118" s="899">
        <v>0.75</v>
      </c>
      <c r="C118" s="1109">
        <v>1.95E-2</v>
      </c>
    </row>
    <row r="119" spans="1:3" s="503" customFormat="1">
      <c r="A119" s="898">
        <v>25.11</v>
      </c>
      <c r="B119" s="899">
        <v>0.74</v>
      </c>
      <c r="C119" s="1109">
        <v>1.9400000000000001E-2</v>
      </c>
    </row>
    <row r="120" spans="1:3" s="503" customFormat="1">
      <c r="A120" s="898">
        <v>25.09</v>
      </c>
      <c r="B120" s="899">
        <v>0.73</v>
      </c>
      <c r="C120" s="1109">
        <v>1.9300000000000001E-2</v>
      </c>
    </row>
    <row r="121" spans="1:3" s="503" customFormat="1">
      <c r="A121" s="898">
        <v>25.05</v>
      </c>
      <c r="B121" s="899">
        <v>0.72</v>
      </c>
      <c r="C121" s="1109">
        <v>1.9199999999999998E-2</v>
      </c>
    </row>
    <row r="122" spans="1:3" s="503" customFormat="1">
      <c r="A122" s="898">
        <v>24.68</v>
      </c>
      <c r="B122" s="899">
        <v>0.71</v>
      </c>
      <c r="C122" s="1109">
        <v>1.9099999999999999E-2</v>
      </c>
    </row>
    <row r="123" spans="1:3" s="503" customFormat="1">
      <c r="A123" s="898">
        <v>24.57</v>
      </c>
      <c r="B123" s="899">
        <v>0.7</v>
      </c>
      <c r="C123" s="1109">
        <v>1.9E-2</v>
      </c>
    </row>
    <row r="124" spans="1:3" s="503" customFormat="1">
      <c r="A124" s="898">
        <v>24.34</v>
      </c>
      <c r="B124" s="899">
        <v>0.69</v>
      </c>
      <c r="C124" s="1109">
        <v>1.89E-2</v>
      </c>
    </row>
    <row r="125" spans="1:3" s="503" customFormat="1">
      <c r="A125" s="898">
        <v>24.23</v>
      </c>
      <c r="B125" s="899">
        <v>0.68</v>
      </c>
      <c r="C125" s="1109">
        <v>1.8800000000000001E-2</v>
      </c>
    </row>
    <row r="126" spans="1:3" s="503" customFormat="1">
      <c r="A126" s="898">
        <v>24.22</v>
      </c>
      <c r="B126" s="899">
        <v>0.67</v>
      </c>
      <c r="C126" s="1109">
        <v>1.8700000000000001E-2</v>
      </c>
    </row>
    <row r="127" spans="1:3" s="503" customFormat="1">
      <c r="A127" s="898">
        <v>24.19</v>
      </c>
      <c r="B127" s="899">
        <v>0.66</v>
      </c>
      <c r="C127" s="1109">
        <v>1.8599999999999998E-2</v>
      </c>
    </row>
    <row r="128" spans="1:3" s="503" customFormat="1">
      <c r="A128" s="898">
        <v>23.8</v>
      </c>
      <c r="B128" s="899">
        <v>0.65</v>
      </c>
      <c r="C128" s="1109">
        <v>1.8499999999999999E-2</v>
      </c>
    </row>
    <row r="129" spans="1:3" s="503" customFormat="1">
      <c r="A129" s="898">
        <v>23.71</v>
      </c>
      <c r="B129" s="899">
        <v>0.64</v>
      </c>
      <c r="C129" s="1109">
        <v>1.84E-2</v>
      </c>
    </row>
    <row r="130" spans="1:3" s="503" customFormat="1">
      <c r="A130" s="898">
        <v>23.48</v>
      </c>
      <c r="B130" s="899">
        <v>0.63</v>
      </c>
      <c r="C130" s="1109">
        <v>1.83E-2</v>
      </c>
    </row>
    <row r="131" spans="1:3" s="503" customFormat="1">
      <c r="A131" s="898">
        <v>23.37</v>
      </c>
      <c r="B131" s="899">
        <v>0.62</v>
      </c>
      <c r="C131" s="1109">
        <v>1.8200000000000001E-2</v>
      </c>
    </row>
    <row r="132" spans="1:3" s="503" customFormat="1">
      <c r="A132" s="898">
        <v>23.35</v>
      </c>
      <c r="B132" s="899">
        <v>0.61</v>
      </c>
      <c r="C132" s="1109">
        <v>1.8100000000000002E-2</v>
      </c>
    </row>
    <row r="133" spans="1:3" s="503" customFormat="1">
      <c r="A133" s="898">
        <v>23.34</v>
      </c>
      <c r="B133" s="899">
        <v>0.6</v>
      </c>
      <c r="C133" s="1109">
        <v>1.7999999999999999E-2</v>
      </c>
    </row>
    <row r="134" spans="1:3" s="503" customFormat="1">
      <c r="A134" s="898">
        <v>22.92</v>
      </c>
      <c r="B134" s="899">
        <v>0.59</v>
      </c>
      <c r="C134" s="1109">
        <v>1.7899999999999999E-2</v>
      </c>
    </row>
    <row r="135" spans="1:3" s="503" customFormat="1">
      <c r="A135" s="898">
        <v>22.85</v>
      </c>
      <c r="B135" s="899">
        <v>0.57999999999999996</v>
      </c>
      <c r="C135" s="1109">
        <v>1.78E-2</v>
      </c>
    </row>
    <row r="136" spans="1:3" s="503" customFormat="1">
      <c r="A136" s="898">
        <v>22.63</v>
      </c>
      <c r="B136" s="899">
        <v>0.56999999999999995</v>
      </c>
      <c r="C136" s="1109">
        <v>1.77E-2</v>
      </c>
    </row>
    <row r="137" spans="1:3" s="503" customFormat="1">
      <c r="A137" s="898">
        <v>22.52</v>
      </c>
      <c r="B137" s="899">
        <v>0.56000000000000005</v>
      </c>
      <c r="C137" s="1109">
        <v>1.7600000000000001E-2</v>
      </c>
    </row>
    <row r="138" spans="1:3" s="503" customFormat="1">
      <c r="A138" s="898">
        <v>22.49</v>
      </c>
      <c r="B138" s="899">
        <v>0.55000000000000004</v>
      </c>
      <c r="C138" s="1109">
        <v>1.7500000000000002E-2</v>
      </c>
    </row>
    <row r="139" spans="1:3" s="503" customFormat="1">
      <c r="A139" s="898">
        <v>22.48</v>
      </c>
      <c r="B139" s="899">
        <v>0.54</v>
      </c>
      <c r="C139" s="1109">
        <v>1.7399999999999999E-2</v>
      </c>
    </row>
    <row r="140" spans="1:3" s="503" customFormat="1">
      <c r="A140" s="898">
        <v>22.05</v>
      </c>
      <c r="B140" s="899">
        <v>0.53</v>
      </c>
      <c r="C140" s="1109">
        <v>1.7299999999999999E-2</v>
      </c>
    </row>
    <row r="141" spans="1:3" s="503" customFormat="1">
      <c r="A141" s="898">
        <v>22</v>
      </c>
      <c r="B141" s="899">
        <v>0.52</v>
      </c>
      <c r="C141" s="1109">
        <v>1.72E-2</v>
      </c>
    </row>
    <row r="142" spans="1:3" s="503" customFormat="1">
      <c r="A142" s="898">
        <v>21.79</v>
      </c>
      <c r="B142" s="899">
        <v>0.51</v>
      </c>
      <c r="C142" s="1109">
        <v>1.7100000000000001E-2</v>
      </c>
    </row>
    <row r="143" spans="1:3" s="503" customFormat="1">
      <c r="A143" s="898">
        <v>21.68</v>
      </c>
      <c r="B143" s="899">
        <v>0.5</v>
      </c>
      <c r="C143" s="1109">
        <v>1.7000000000000001E-2</v>
      </c>
    </row>
    <row r="144" spans="1:3" s="503" customFormat="1">
      <c r="A144" s="898">
        <v>21.66</v>
      </c>
      <c r="B144" s="899">
        <v>0.49</v>
      </c>
      <c r="C144" s="1109">
        <v>1.6899999999999998E-2</v>
      </c>
    </row>
    <row r="145" spans="1:3" s="503" customFormat="1">
      <c r="A145" s="898">
        <v>21.62</v>
      </c>
      <c r="B145" s="899">
        <v>0.48</v>
      </c>
      <c r="C145" s="1109">
        <v>1.6799999999999999E-2</v>
      </c>
    </row>
    <row r="146" spans="1:3" s="503" customFormat="1">
      <c r="A146" s="898">
        <v>21.18</v>
      </c>
      <c r="B146" s="899">
        <v>0.47</v>
      </c>
      <c r="C146" s="1109">
        <v>1.67E-2</v>
      </c>
    </row>
    <row r="147" spans="1:3" s="503" customFormat="1">
      <c r="A147" s="898">
        <v>21.15</v>
      </c>
      <c r="B147" s="899">
        <v>0.46</v>
      </c>
      <c r="C147" s="1109">
        <v>1.66E-2</v>
      </c>
    </row>
    <row r="148" spans="1:3" s="503" customFormat="1">
      <c r="A148" s="898">
        <v>20.96</v>
      </c>
      <c r="B148" s="899">
        <v>0.45</v>
      </c>
      <c r="C148" s="1109">
        <v>1.6500000000000001E-2</v>
      </c>
    </row>
    <row r="149" spans="1:3" s="503" customFormat="1">
      <c r="A149" s="898">
        <v>20.85</v>
      </c>
      <c r="B149" s="899">
        <v>0.44</v>
      </c>
      <c r="C149" s="1109">
        <v>1.6400000000000001E-2</v>
      </c>
    </row>
    <row r="150" spans="1:3" s="503" customFormat="1">
      <c r="A150" s="898">
        <v>20.84</v>
      </c>
      <c r="B150" s="899">
        <v>0.42999999999999899</v>
      </c>
      <c r="C150" s="1109">
        <v>1.6299999999999999E-2</v>
      </c>
    </row>
    <row r="151" spans="1:3" s="503" customFormat="1">
      <c r="A151" s="898">
        <v>20.76</v>
      </c>
      <c r="B151" s="899">
        <v>0.41999999999999899</v>
      </c>
      <c r="C151" s="1109">
        <v>1.6199999999999999E-2</v>
      </c>
    </row>
    <row r="152" spans="1:3" s="503" customFormat="1">
      <c r="A152" s="898">
        <v>20.329999999999998</v>
      </c>
      <c r="B152" s="899">
        <v>0.40999999999999898</v>
      </c>
      <c r="C152" s="1109">
        <v>1.61E-2</v>
      </c>
    </row>
    <row r="153" spans="1:3" s="503" customFormat="1">
      <c r="A153" s="898">
        <v>20.32</v>
      </c>
      <c r="B153" s="899">
        <v>0.39999999999999902</v>
      </c>
      <c r="C153" s="1109">
        <v>1.6E-2</v>
      </c>
    </row>
    <row r="154" spans="1:3" s="503" customFormat="1">
      <c r="A154" s="898">
        <v>20.14</v>
      </c>
      <c r="B154" s="899">
        <v>0.38999999999999901</v>
      </c>
      <c r="C154" s="1109">
        <v>1.5900000000000001E-2</v>
      </c>
    </row>
    <row r="155" spans="1:3" s="503" customFormat="1">
      <c r="A155" s="898">
        <v>20.04</v>
      </c>
      <c r="B155" s="899">
        <v>0.37999999999999901</v>
      </c>
      <c r="C155" s="1109">
        <v>1.5800000000000002E-2</v>
      </c>
    </row>
    <row r="156" spans="1:3" s="503" customFormat="1">
      <c r="A156" s="898">
        <v>20.03</v>
      </c>
      <c r="B156" s="899">
        <v>0.369999999999999</v>
      </c>
      <c r="C156" s="1109">
        <v>1.5699999999999999E-2</v>
      </c>
    </row>
    <row r="157" spans="1:3" s="503" customFormat="1">
      <c r="A157" s="898">
        <v>19.920000000000002</v>
      </c>
      <c r="B157" s="899">
        <v>0.35999999999999899</v>
      </c>
      <c r="C157" s="1109">
        <v>1.5599999999999999E-2</v>
      </c>
    </row>
    <row r="158" spans="1:3" s="503" customFormat="1">
      <c r="A158" s="898">
        <v>19.489999999999998</v>
      </c>
      <c r="B158" s="899">
        <v>0.34999999999999898</v>
      </c>
      <c r="C158" s="1109">
        <v>1.55E-2</v>
      </c>
    </row>
    <row r="159" spans="1:3" s="503" customFormat="1">
      <c r="A159" s="898">
        <v>19.48</v>
      </c>
      <c r="B159" s="899">
        <v>0.33999999999999903</v>
      </c>
      <c r="C159" s="1109">
        <v>1.54E-2</v>
      </c>
    </row>
    <row r="160" spans="1:3" s="503" customFormat="1">
      <c r="A160" s="898">
        <v>19.34</v>
      </c>
      <c r="B160" s="899">
        <v>0.32999999999999902</v>
      </c>
      <c r="C160" s="1109">
        <v>1.5299999999999999E-2</v>
      </c>
    </row>
    <row r="161" spans="1:3" s="503" customFormat="1">
      <c r="A161" s="898">
        <v>19.239999999999998</v>
      </c>
      <c r="B161" s="899">
        <v>0.31999999999999901</v>
      </c>
      <c r="C161" s="1109">
        <v>1.52E-2</v>
      </c>
    </row>
    <row r="162" spans="1:3" s="503" customFormat="1">
      <c r="A162" s="898">
        <v>19.22</v>
      </c>
      <c r="B162" s="899">
        <v>0.309999999999999</v>
      </c>
      <c r="C162" s="1109">
        <v>1.5100000000000001E-2</v>
      </c>
    </row>
    <row r="163" spans="1:3" s="503" customFormat="1">
      <c r="A163" s="898">
        <v>19.079999999999998</v>
      </c>
      <c r="B163" s="899">
        <v>0.29999999999999899</v>
      </c>
      <c r="C163" s="1109">
        <v>1.4999999999999999E-2</v>
      </c>
    </row>
    <row r="164" spans="1:3" s="503" customFormat="1">
      <c r="A164" s="898">
        <v>18.670000000000002</v>
      </c>
      <c r="B164" s="899">
        <v>0.28999999999999898</v>
      </c>
      <c r="C164" s="1109">
        <v>1.49E-2</v>
      </c>
    </row>
    <row r="165" spans="1:3" s="503" customFormat="1">
      <c r="A165" s="898">
        <v>18.64</v>
      </c>
      <c r="B165" s="899">
        <v>0.27999999999999903</v>
      </c>
      <c r="C165" s="1109">
        <v>1.4800000000000001E-2</v>
      </c>
    </row>
    <row r="166" spans="1:3" s="503" customFormat="1">
      <c r="A166" s="898">
        <v>18.54</v>
      </c>
      <c r="B166" s="899">
        <v>0.26999999999999902</v>
      </c>
      <c r="C166" s="1109">
        <v>1.47E-2</v>
      </c>
    </row>
    <row r="167" spans="1:3" s="503" customFormat="1">
      <c r="A167" s="898">
        <v>18.46</v>
      </c>
      <c r="B167" s="899">
        <v>0.25999999999999901</v>
      </c>
      <c r="C167" s="1109">
        <v>1.46E-2</v>
      </c>
    </row>
    <row r="168" spans="1:3" s="503" customFormat="1">
      <c r="A168" s="898">
        <v>18.41</v>
      </c>
      <c r="B168" s="899">
        <v>0.249999999999999</v>
      </c>
      <c r="C168" s="1109">
        <v>1.4500000000000001E-2</v>
      </c>
    </row>
    <row r="169" spans="1:3" s="503" customFormat="1">
      <c r="A169" s="898">
        <v>18.239999999999998</v>
      </c>
      <c r="B169" s="899">
        <v>0.23999999999999899</v>
      </c>
      <c r="C169" s="1109">
        <v>1.44E-2</v>
      </c>
    </row>
    <row r="170" spans="1:3" s="503" customFormat="1">
      <c r="A170" s="898">
        <v>17.87</v>
      </c>
      <c r="B170" s="899">
        <v>0.22999999999999901</v>
      </c>
      <c r="C170" s="1109">
        <v>1.43E-2</v>
      </c>
    </row>
    <row r="171" spans="1:3" s="503" customFormat="1">
      <c r="A171" s="898">
        <v>17.8</v>
      </c>
      <c r="B171" s="899">
        <v>0.219999999999999</v>
      </c>
      <c r="C171" s="1109">
        <v>1.4200000000000001E-2</v>
      </c>
    </row>
    <row r="172" spans="1:3" s="503" customFormat="1">
      <c r="A172" s="898">
        <v>17.760000000000002</v>
      </c>
      <c r="B172" s="899">
        <v>0.20999999999999899</v>
      </c>
      <c r="C172" s="1109">
        <v>1.41E-2</v>
      </c>
    </row>
    <row r="173" spans="1:3" s="503" customFormat="1">
      <c r="A173" s="898">
        <v>17.7</v>
      </c>
      <c r="B173" s="899">
        <v>0.19999999999999901</v>
      </c>
      <c r="C173" s="1109">
        <v>1.4E-2</v>
      </c>
    </row>
    <row r="174" spans="1:3" s="503" customFormat="1">
      <c r="A174" s="898">
        <v>17.62</v>
      </c>
      <c r="B174" s="899">
        <v>0.189999999999999</v>
      </c>
      <c r="C174" s="1109">
        <v>1.3899999999999999E-2</v>
      </c>
    </row>
    <row r="175" spans="1:3" s="503" customFormat="1">
      <c r="A175" s="898">
        <v>17.420000000000002</v>
      </c>
      <c r="B175" s="899">
        <v>0.17999999999999899</v>
      </c>
      <c r="C175" s="1109">
        <v>1.38E-2</v>
      </c>
    </row>
    <row r="176" spans="1:3" s="503" customFormat="1">
      <c r="A176" s="898">
        <v>17.079999999999998</v>
      </c>
      <c r="B176" s="899">
        <v>0.16999999999999901</v>
      </c>
      <c r="C176" s="1109">
        <v>1.37E-2</v>
      </c>
    </row>
    <row r="177" spans="1:3" s="503" customFormat="1">
      <c r="A177" s="898">
        <v>16.989999999999998</v>
      </c>
      <c r="B177" s="899">
        <v>0.159999999999999</v>
      </c>
      <c r="C177" s="1109">
        <v>1.3599999999999999E-2</v>
      </c>
    </row>
    <row r="178" spans="1:3" s="503" customFormat="1">
      <c r="A178" s="898">
        <v>16.98</v>
      </c>
      <c r="B178" s="899">
        <v>0.149999999999999</v>
      </c>
      <c r="C178" s="1109">
        <v>1.35E-2</v>
      </c>
    </row>
    <row r="179" spans="1:3" s="503" customFormat="1">
      <c r="A179" s="898">
        <v>16.95</v>
      </c>
      <c r="B179" s="899">
        <v>0.13999999999999899</v>
      </c>
      <c r="C179" s="1109">
        <v>1.34E-2</v>
      </c>
    </row>
    <row r="180" spans="1:3" s="503" customFormat="1">
      <c r="A180" s="898">
        <v>16.84</v>
      </c>
      <c r="B180" s="899">
        <v>0.12999999999999901</v>
      </c>
      <c r="C180" s="1109">
        <v>1.3299999999999999E-2</v>
      </c>
    </row>
    <row r="181" spans="1:3" s="503" customFormat="1">
      <c r="A181" s="898">
        <v>16.61</v>
      </c>
      <c r="B181" s="899">
        <v>0.119999999999999</v>
      </c>
      <c r="C181" s="1109">
        <v>1.32E-2</v>
      </c>
    </row>
    <row r="182" spans="1:3" s="503" customFormat="1">
      <c r="A182" s="898">
        <v>16.29</v>
      </c>
      <c r="B182" s="899">
        <v>0.109999999999999</v>
      </c>
      <c r="C182" s="1109">
        <v>1.3100000000000001E-2</v>
      </c>
    </row>
    <row r="183" spans="1:3" s="503" customFormat="1">
      <c r="A183" s="898">
        <v>16.239999999999998</v>
      </c>
      <c r="B183" s="899">
        <v>9.9999999999999006E-2</v>
      </c>
      <c r="C183" s="1109">
        <v>1.2999999999999999E-2</v>
      </c>
    </row>
    <row r="184" spans="1:3" s="503" customFormat="1">
      <c r="A184" s="898">
        <v>16.21</v>
      </c>
      <c r="B184" s="899">
        <v>8.99999999999989E-2</v>
      </c>
      <c r="C184" s="1109">
        <v>1.2900000000000101E-2</v>
      </c>
    </row>
    <row r="185" spans="1:3" s="503" customFormat="1">
      <c r="A185" s="898">
        <v>16.18</v>
      </c>
      <c r="B185" s="899">
        <v>7.9999999999998905E-2</v>
      </c>
      <c r="C185" s="1109">
        <v>1.2800000000000099E-2</v>
      </c>
    </row>
    <row r="186" spans="1:3" s="503" customFormat="1">
      <c r="A186" s="898">
        <v>16.07</v>
      </c>
      <c r="B186" s="899">
        <v>6.9999999999998896E-2</v>
      </c>
      <c r="C186" s="1109">
        <v>1.27000000000001E-2</v>
      </c>
    </row>
    <row r="187" spans="1:3" s="503" customFormat="1">
      <c r="A187" s="898">
        <v>15.82</v>
      </c>
      <c r="B187" s="899">
        <v>5.9999999999998901E-2</v>
      </c>
      <c r="C187" s="1109">
        <v>1.2600000000000101E-2</v>
      </c>
    </row>
    <row r="188" spans="1:3" s="503" customFormat="1">
      <c r="A188" s="898">
        <v>15.53</v>
      </c>
      <c r="B188" s="899">
        <v>4.9999999999998997E-2</v>
      </c>
      <c r="C188" s="1109">
        <v>1.25000000000001E-2</v>
      </c>
    </row>
    <row r="189" spans="1:3" s="503" customFormat="1">
      <c r="A189" s="898">
        <v>15.49</v>
      </c>
      <c r="B189" s="899">
        <v>3.9999999999999002E-2</v>
      </c>
      <c r="C189" s="1109">
        <v>1.24000000000001E-2</v>
      </c>
    </row>
    <row r="190" spans="1:3" s="503" customFormat="1">
      <c r="A190" s="898">
        <v>15.48</v>
      </c>
      <c r="B190" s="899">
        <v>2.9999999999999E-2</v>
      </c>
      <c r="C190" s="1109">
        <v>1.2300000000000101E-2</v>
      </c>
    </row>
    <row r="191" spans="1:3" s="503" customFormat="1">
      <c r="A191" s="898">
        <v>15.38</v>
      </c>
      <c r="B191" s="899">
        <v>1.9999999999999001E-2</v>
      </c>
      <c r="C191" s="1109">
        <v>1.22000000000001E-2</v>
      </c>
    </row>
    <row r="192" spans="1:3" s="503" customFormat="1">
      <c r="A192" s="898">
        <v>15.31</v>
      </c>
      <c r="B192" s="899">
        <v>9.9999999999989802E-3</v>
      </c>
      <c r="C192" s="1109">
        <v>1.21000000000001E-2</v>
      </c>
    </row>
    <row r="193" spans="1:3" s="503" customFormat="1">
      <c r="A193" s="898">
        <v>15.03</v>
      </c>
      <c r="B193" s="501"/>
      <c r="C193" s="1109">
        <v>1.2000000000000101E-2</v>
      </c>
    </row>
    <row r="194" spans="1:3" s="503" customFormat="1">
      <c r="A194" s="898">
        <v>14.78</v>
      </c>
      <c r="B194" s="501"/>
      <c r="C194" s="1109">
        <v>1.19000000000001E-2</v>
      </c>
    </row>
    <row r="195" spans="1:3" s="503" customFormat="1">
      <c r="A195" s="898">
        <v>14.78</v>
      </c>
      <c r="B195" s="501"/>
      <c r="C195" s="1109">
        <v>1.18000000000001E-2</v>
      </c>
    </row>
    <row r="196" spans="1:3" s="503" customFormat="1">
      <c r="A196" s="898">
        <v>14.76</v>
      </c>
      <c r="B196" s="501"/>
      <c r="C196" s="1109">
        <v>1.1700000000000099E-2</v>
      </c>
    </row>
    <row r="197" spans="1:3" s="503" customFormat="1">
      <c r="A197" s="898">
        <v>14.6</v>
      </c>
      <c r="B197" s="501"/>
      <c r="C197" s="1109">
        <v>1.16000000000001E-2</v>
      </c>
    </row>
    <row r="198" spans="1:3" s="503" customFormat="1">
      <c r="A198" s="898">
        <v>14.56</v>
      </c>
      <c r="B198" s="501"/>
      <c r="C198" s="1109">
        <v>1.15000000000001E-2</v>
      </c>
    </row>
    <row r="199" spans="1:3" s="503" customFormat="1">
      <c r="A199" s="898">
        <v>14.27</v>
      </c>
      <c r="B199" s="501"/>
      <c r="C199" s="1109">
        <v>1.1400000000000099E-2</v>
      </c>
    </row>
    <row r="200" spans="1:3" s="503" customFormat="1">
      <c r="A200" s="898">
        <v>14.08</v>
      </c>
      <c r="B200" s="501"/>
      <c r="C200" s="1109">
        <v>1.13000000000001E-2</v>
      </c>
    </row>
    <row r="201" spans="1:3" s="503" customFormat="1">
      <c r="A201" s="898">
        <v>14.05</v>
      </c>
      <c r="B201" s="501"/>
      <c r="C201" s="1109">
        <v>1.1200000000000101E-2</v>
      </c>
    </row>
    <row r="202" spans="1:3" s="503" customFormat="1">
      <c r="A202" s="898">
        <v>14.04</v>
      </c>
      <c r="B202" s="501"/>
      <c r="C202" s="1109">
        <v>1.1100000000000099E-2</v>
      </c>
    </row>
    <row r="203" spans="1:3" s="503" customFormat="1">
      <c r="A203" s="898">
        <v>13.83</v>
      </c>
      <c r="B203" s="501"/>
      <c r="C203" s="1109">
        <v>1.10000000000001E-2</v>
      </c>
    </row>
    <row r="204" spans="1:3" s="503" customFormat="1">
      <c r="A204" s="898">
        <v>13.83</v>
      </c>
      <c r="B204" s="501"/>
      <c r="C204" s="1109">
        <v>1.0900000000000101E-2</v>
      </c>
    </row>
    <row r="205" spans="1:3" s="503" customFormat="1">
      <c r="A205" s="898">
        <v>13.51</v>
      </c>
      <c r="B205" s="501"/>
      <c r="C205" s="1109">
        <v>1.0800000000000099E-2</v>
      </c>
    </row>
    <row r="206" spans="1:3" s="503" customFormat="1">
      <c r="A206" s="898">
        <v>13.41</v>
      </c>
      <c r="B206" s="501"/>
      <c r="C206" s="1109">
        <v>1.07000000000001E-2</v>
      </c>
    </row>
    <row r="207" spans="1:3" s="503" customFormat="1">
      <c r="A207" s="898">
        <v>13.33</v>
      </c>
      <c r="B207" s="501"/>
      <c r="C207" s="1109">
        <v>1.0600000000000101E-2</v>
      </c>
    </row>
    <row r="208" spans="1:3" s="503" customFormat="1">
      <c r="A208" s="898">
        <v>13.33</v>
      </c>
      <c r="B208" s="501"/>
      <c r="C208" s="1109">
        <v>1.05000000000001E-2</v>
      </c>
    </row>
    <row r="209" spans="1:3" s="503" customFormat="1">
      <c r="A209" s="898">
        <v>13.11</v>
      </c>
      <c r="B209" s="501"/>
      <c r="C209" s="1109">
        <v>1.04000000000001E-2</v>
      </c>
    </row>
    <row r="210" spans="1:3" s="503" customFormat="1">
      <c r="A210" s="898">
        <v>13.08</v>
      </c>
      <c r="B210" s="501"/>
      <c r="C210" s="1109">
        <v>1.0300000000000101E-2</v>
      </c>
    </row>
    <row r="211" spans="1:3" s="503" customFormat="1">
      <c r="A211" s="898">
        <v>12.78</v>
      </c>
      <c r="B211" s="501"/>
      <c r="C211" s="1109">
        <v>1.02000000000001E-2</v>
      </c>
    </row>
    <row r="212" spans="1:3" s="503" customFormat="1">
      <c r="A212" s="898">
        <v>12.75</v>
      </c>
      <c r="B212" s="501"/>
      <c r="C212" s="1109">
        <v>1.01000000000001E-2</v>
      </c>
    </row>
    <row r="213" spans="1:3" s="503" customFormat="1">
      <c r="A213" s="898">
        <v>12.64</v>
      </c>
      <c r="B213" s="501"/>
      <c r="C213" s="1109">
        <v>1.0000000000000101E-2</v>
      </c>
    </row>
    <row r="214" spans="1:3" s="503" customFormat="1">
      <c r="A214" s="898">
        <v>12.63</v>
      </c>
      <c r="B214" s="501"/>
      <c r="C214" s="1109">
        <v>9.9000000000000997E-3</v>
      </c>
    </row>
    <row r="215" spans="1:3" s="503" customFormat="1">
      <c r="A215" s="898">
        <v>12.4</v>
      </c>
      <c r="B215" s="501"/>
      <c r="C215" s="1109">
        <v>9.8000000000001003E-3</v>
      </c>
    </row>
    <row r="216" spans="1:3" s="503" customFormat="1">
      <c r="A216" s="898">
        <v>12.33</v>
      </c>
      <c r="B216" s="501"/>
      <c r="C216" s="1109">
        <v>9.7000000000000992E-3</v>
      </c>
    </row>
    <row r="217" spans="1:3" s="503" customFormat="1">
      <c r="A217" s="898">
        <v>12.11</v>
      </c>
      <c r="B217" s="501"/>
      <c r="C217" s="1109">
        <v>9.6000000000000998E-3</v>
      </c>
    </row>
    <row r="218" spans="1:3" s="503" customFormat="1">
      <c r="A218" s="898">
        <v>12.05</v>
      </c>
      <c r="B218" s="501"/>
      <c r="C218" s="1109">
        <v>9.5000000000001004E-3</v>
      </c>
    </row>
    <row r="219" spans="1:3" s="503" customFormat="1">
      <c r="A219" s="898">
        <v>11.96</v>
      </c>
      <c r="B219" s="501"/>
      <c r="C219" s="1109">
        <v>9.4000000000000992E-3</v>
      </c>
    </row>
    <row r="220" spans="1:3" s="503" customFormat="1">
      <c r="A220" s="898">
        <v>11.94</v>
      </c>
      <c r="B220" s="501"/>
      <c r="C220" s="1109">
        <v>9.3000000000000999E-3</v>
      </c>
    </row>
    <row r="221" spans="1:3" s="503" customFormat="1">
      <c r="A221" s="898">
        <v>11.72</v>
      </c>
      <c r="B221" s="501"/>
      <c r="C221" s="1109">
        <v>9.2000000000001005E-3</v>
      </c>
    </row>
    <row r="222" spans="1:3" s="503" customFormat="1">
      <c r="A222" s="898">
        <v>11.61</v>
      </c>
      <c r="B222" s="501"/>
      <c r="C222" s="1109">
        <v>9.1000000000000993E-3</v>
      </c>
    </row>
    <row r="223" spans="1:3" s="503" customFormat="1">
      <c r="A223" s="898">
        <v>11.5</v>
      </c>
      <c r="B223" s="501"/>
      <c r="C223" s="1109">
        <v>9.0000000000000999E-3</v>
      </c>
    </row>
    <row r="224" spans="1:3" s="503" customFormat="1">
      <c r="A224" s="898">
        <v>11.35</v>
      </c>
      <c r="B224" s="501"/>
      <c r="C224" s="1109">
        <v>8.9000000000001005E-3</v>
      </c>
    </row>
    <row r="225" spans="1:3" s="503" customFormat="1">
      <c r="A225" s="898">
        <v>11.31</v>
      </c>
      <c r="B225" s="501"/>
      <c r="C225" s="1109">
        <v>8.8000000000000994E-3</v>
      </c>
    </row>
    <row r="226" spans="1:3" s="503" customFormat="1">
      <c r="A226" s="898">
        <v>11.27</v>
      </c>
      <c r="B226" s="501"/>
      <c r="C226" s="1109">
        <v>8.7000000000001E-3</v>
      </c>
    </row>
    <row r="227" spans="1:3" s="503" customFormat="1">
      <c r="A227" s="898">
        <v>11.05</v>
      </c>
      <c r="B227" s="501"/>
      <c r="C227" s="1109">
        <v>8.6000000000001006E-3</v>
      </c>
    </row>
    <row r="228" spans="1:3" s="503" customFormat="1">
      <c r="A228" s="898">
        <v>10.9</v>
      </c>
      <c r="B228" s="501"/>
      <c r="C228" s="1109">
        <v>8.5000000000000995E-3</v>
      </c>
    </row>
    <row r="229" spans="1:3" s="503" customFormat="1">
      <c r="A229" s="898">
        <v>10.9</v>
      </c>
      <c r="B229" s="501"/>
      <c r="C229" s="1109">
        <v>8.4000000000001001E-3</v>
      </c>
    </row>
    <row r="230" spans="1:3" s="503" customFormat="1">
      <c r="A230" s="898">
        <v>10.68</v>
      </c>
      <c r="B230" s="501"/>
      <c r="C230" s="1109">
        <v>8.3000000000001007E-3</v>
      </c>
    </row>
    <row r="231" spans="1:3" s="503" customFormat="1">
      <c r="A231" s="898">
        <v>10.67</v>
      </c>
      <c r="B231" s="501"/>
      <c r="C231" s="1109">
        <v>8.2000000000000996E-3</v>
      </c>
    </row>
    <row r="232" spans="1:3" s="503" customFormat="1">
      <c r="A232" s="898">
        <v>10.61</v>
      </c>
      <c r="B232" s="501"/>
      <c r="C232" s="1109">
        <v>8.1000000000001002E-3</v>
      </c>
    </row>
    <row r="233" spans="1:3" s="503" customFormat="1">
      <c r="A233" s="898">
        <v>10.41</v>
      </c>
      <c r="B233" s="501"/>
      <c r="C233" s="1109">
        <v>8.0000000000001008E-3</v>
      </c>
    </row>
    <row r="234" spans="1:3" s="503" customFormat="1">
      <c r="A234" s="898">
        <v>10.32</v>
      </c>
      <c r="B234" s="501"/>
      <c r="C234" s="1109">
        <v>7.9000000000000997E-3</v>
      </c>
    </row>
    <row r="235" spans="1:3" s="503" customFormat="1">
      <c r="A235" s="898">
        <v>10.210000000000001</v>
      </c>
      <c r="B235" s="501"/>
      <c r="C235" s="1109">
        <v>7.8000000000001003E-3</v>
      </c>
    </row>
    <row r="236" spans="1:3" s="503" customFormat="1">
      <c r="A236" s="898">
        <v>10.07</v>
      </c>
      <c r="B236" s="501"/>
      <c r="C236" s="1109">
        <v>7.7000000000001E-3</v>
      </c>
    </row>
    <row r="237" spans="1:3" s="503" customFormat="1">
      <c r="A237" s="898">
        <v>10.01</v>
      </c>
      <c r="B237" s="501"/>
      <c r="C237" s="1109">
        <v>7.6000000000000997E-3</v>
      </c>
    </row>
    <row r="238" spans="1:3" s="503" customFormat="1">
      <c r="A238" s="898">
        <v>9.98</v>
      </c>
      <c r="B238" s="501"/>
      <c r="C238" s="1109">
        <v>7.5000000000001003E-3</v>
      </c>
    </row>
    <row r="239" spans="1:3" s="503" customFormat="1">
      <c r="A239" s="898">
        <v>9.7799999999999994</v>
      </c>
      <c r="B239" s="501"/>
      <c r="C239" s="1109">
        <v>7.4000000000001001E-3</v>
      </c>
    </row>
    <row r="240" spans="1:3" s="503" customFormat="1">
      <c r="A240" s="898">
        <v>9.77</v>
      </c>
      <c r="B240" s="501"/>
      <c r="C240" s="1109">
        <v>7.3000000000000998E-3</v>
      </c>
    </row>
    <row r="241" spans="1:3" s="503" customFormat="1">
      <c r="A241" s="898">
        <v>9.5500000000000007</v>
      </c>
      <c r="B241" s="501"/>
      <c r="C241" s="1109">
        <v>7.2000000000001004E-3</v>
      </c>
    </row>
    <row r="242" spans="1:3" s="503" customFormat="1">
      <c r="A242" s="898">
        <v>9.48</v>
      </c>
      <c r="B242" s="501"/>
      <c r="C242" s="1109">
        <v>7.1000000000001002E-3</v>
      </c>
    </row>
    <row r="243" spans="1:3" s="503" customFormat="1">
      <c r="A243" s="898">
        <v>9.3800000000000008</v>
      </c>
      <c r="B243" s="501"/>
      <c r="C243" s="1109">
        <v>7.0000000000000999E-3</v>
      </c>
    </row>
    <row r="244" spans="1:3" s="503" customFormat="1">
      <c r="A244" s="898">
        <v>9.3699999999999992</v>
      </c>
      <c r="B244" s="501"/>
      <c r="C244" s="1109">
        <v>6.9000000000000996E-3</v>
      </c>
    </row>
    <row r="245" spans="1:3" s="503" customFormat="1">
      <c r="A245" s="898">
        <v>9.24</v>
      </c>
      <c r="B245" s="501"/>
      <c r="C245" s="1109">
        <v>6.8000000000001002E-3</v>
      </c>
    </row>
    <row r="246" spans="1:3" s="503" customFormat="1">
      <c r="A246" s="898">
        <v>9.18</v>
      </c>
      <c r="B246" s="501"/>
      <c r="C246" s="1109">
        <v>6.7000000000001E-3</v>
      </c>
    </row>
    <row r="247" spans="1:3" s="503" customFormat="1">
      <c r="A247" s="898">
        <v>8.92</v>
      </c>
      <c r="B247" s="501"/>
      <c r="C247" s="1109">
        <v>6.6000000000000997E-3</v>
      </c>
    </row>
    <row r="248" spans="1:3" s="503" customFormat="1">
      <c r="A248" s="898">
        <v>8.9</v>
      </c>
      <c r="B248" s="501"/>
      <c r="C248" s="1109">
        <v>6.5000000000001003E-3</v>
      </c>
    </row>
    <row r="249" spans="1:3" s="503" customFormat="1">
      <c r="A249" s="898">
        <v>8.81</v>
      </c>
      <c r="B249" s="501"/>
      <c r="C249" s="1109">
        <v>6.4000000000001001E-3</v>
      </c>
    </row>
    <row r="250" spans="1:3" s="503" customFormat="1">
      <c r="A250" s="898">
        <v>8.75</v>
      </c>
      <c r="B250" s="501"/>
      <c r="C250" s="1109">
        <v>6.3000000000000998E-3</v>
      </c>
    </row>
    <row r="251" spans="1:3" s="503" customFormat="1">
      <c r="A251" s="898">
        <v>8.73</v>
      </c>
      <c r="B251" s="501"/>
      <c r="C251" s="1109">
        <v>6.2000000000001004E-3</v>
      </c>
    </row>
    <row r="252" spans="1:3" s="503" customFormat="1">
      <c r="A252" s="898">
        <v>8.6</v>
      </c>
      <c r="B252" s="501"/>
      <c r="C252" s="1109">
        <v>6.1000000000001001E-3</v>
      </c>
    </row>
    <row r="253" spans="1:3" s="503" customFormat="1">
      <c r="A253" s="898">
        <v>8.3800000000000008</v>
      </c>
      <c r="B253" s="501"/>
      <c r="C253" s="1109">
        <v>6.0000000000000999E-3</v>
      </c>
    </row>
    <row r="254" spans="1:3" s="503" customFormat="1">
      <c r="A254" s="898">
        <v>8.2899999999999991</v>
      </c>
      <c r="B254" s="501"/>
      <c r="C254" s="1109">
        <v>5.9000000000000996E-3</v>
      </c>
    </row>
    <row r="255" spans="1:3" s="503" customFormat="1">
      <c r="A255" s="898">
        <v>8.27</v>
      </c>
      <c r="B255" s="501"/>
      <c r="C255" s="1109">
        <v>5.8000000000001002E-3</v>
      </c>
    </row>
    <row r="256" spans="1:3" s="503" customFormat="1">
      <c r="A256" s="898">
        <v>8.24</v>
      </c>
      <c r="B256" s="501"/>
      <c r="C256" s="1109">
        <v>5.7000000000001E-3</v>
      </c>
    </row>
    <row r="257" spans="1:3" s="503" customFormat="1">
      <c r="A257" s="898">
        <v>8.17</v>
      </c>
      <c r="B257" s="501"/>
      <c r="C257" s="1109">
        <v>5.6000000000000997E-3</v>
      </c>
    </row>
    <row r="258" spans="1:3" s="503" customFormat="1">
      <c r="A258" s="898">
        <v>8.0399999999999991</v>
      </c>
      <c r="B258" s="501"/>
      <c r="C258" s="1109">
        <v>5.5000000000001003E-3</v>
      </c>
    </row>
    <row r="259" spans="1:3" s="503" customFormat="1">
      <c r="A259" s="898">
        <v>7.86</v>
      </c>
      <c r="B259" s="501"/>
      <c r="C259" s="1109">
        <v>5.4000000000001E-3</v>
      </c>
    </row>
    <row r="260" spans="1:3" s="503" customFormat="1">
      <c r="A260" s="898">
        <v>7.77</v>
      </c>
      <c r="B260" s="501"/>
      <c r="C260" s="1109">
        <v>5.3000000000000998E-3</v>
      </c>
    </row>
    <row r="261" spans="1:3" s="503" customFormat="1">
      <c r="A261" s="898">
        <v>7.76</v>
      </c>
      <c r="B261" s="501"/>
      <c r="C261" s="1109">
        <v>5.2000000000001004E-3</v>
      </c>
    </row>
    <row r="262" spans="1:3" s="503" customFormat="1">
      <c r="A262" s="898">
        <v>7.7</v>
      </c>
      <c r="B262" s="501"/>
      <c r="C262" s="1109">
        <v>5.1000000000001001E-3</v>
      </c>
    </row>
    <row r="263" spans="1:3" s="503" customFormat="1">
      <c r="A263" s="898">
        <v>7.61</v>
      </c>
      <c r="B263" s="501"/>
      <c r="C263" s="1109">
        <v>5.0000000000000999E-3</v>
      </c>
    </row>
    <row r="264" spans="1:3" s="503" customFormat="1">
      <c r="A264" s="898">
        <v>7.51</v>
      </c>
      <c r="B264" s="501"/>
      <c r="C264" s="1109">
        <v>4.9000000000000996E-3</v>
      </c>
    </row>
    <row r="265" spans="1:3" s="503" customFormat="1">
      <c r="A265" s="898">
        <v>7.36</v>
      </c>
      <c r="B265" s="501"/>
      <c r="C265" s="1109">
        <v>4.8000000000001002E-3</v>
      </c>
    </row>
    <row r="266" spans="1:3" s="503" customFormat="1">
      <c r="A266" s="898">
        <v>7.32</v>
      </c>
      <c r="B266" s="501"/>
      <c r="C266" s="1109">
        <v>4.7000000000000999E-3</v>
      </c>
    </row>
    <row r="267" spans="1:3" s="503" customFormat="1">
      <c r="A267" s="898">
        <v>7.28</v>
      </c>
      <c r="B267" s="501"/>
      <c r="C267" s="1109">
        <v>4.6000000000000997E-3</v>
      </c>
    </row>
    <row r="268" spans="1:3" s="503" customFormat="1">
      <c r="A268" s="898">
        <v>7.14</v>
      </c>
      <c r="B268" s="501"/>
      <c r="C268" s="1109">
        <v>4.5000000000001003E-3</v>
      </c>
    </row>
    <row r="269" spans="1:3" s="503" customFormat="1">
      <c r="A269" s="898">
        <v>7.08</v>
      </c>
      <c r="B269" s="501"/>
      <c r="C269" s="1109">
        <v>4.4000000000001E-3</v>
      </c>
    </row>
    <row r="270" spans="1:3" s="503" customFormat="1">
      <c r="A270" s="898">
        <v>7</v>
      </c>
      <c r="B270" s="501"/>
      <c r="C270" s="1109">
        <v>4.3000000000000997E-3</v>
      </c>
    </row>
    <row r="271" spans="1:3" s="503" customFormat="1">
      <c r="A271" s="898">
        <v>6.89</v>
      </c>
      <c r="B271" s="501"/>
      <c r="C271" s="1109">
        <v>4.2000000000001004E-3</v>
      </c>
    </row>
    <row r="272" spans="1:3" s="503" customFormat="1">
      <c r="A272" s="898">
        <v>6.89</v>
      </c>
      <c r="B272" s="501"/>
      <c r="C272" s="1109">
        <v>4.1000000000001001E-3</v>
      </c>
    </row>
    <row r="273" spans="1:3" s="503" customFormat="1">
      <c r="A273" s="898">
        <v>6.83</v>
      </c>
      <c r="B273" s="501"/>
      <c r="C273" s="1109">
        <v>4.0000000000000998E-3</v>
      </c>
    </row>
    <row r="274" spans="1:3" s="503" customFormat="1">
      <c r="A274" s="898">
        <v>6.61</v>
      </c>
      <c r="B274" s="501"/>
      <c r="C274" s="1109">
        <v>3.9000000000001E-3</v>
      </c>
    </row>
    <row r="275" spans="1:3" s="503" customFormat="1">
      <c r="A275" s="898">
        <v>6.58</v>
      </c>
      <c r="B275" s="501"/>
      <c r="C275" s="1109">
        <v>3.8000000000001002E-3</v>
      </c>
    </row>
    <row r="276" spans="1:3" s="503" customFormat="1">
      <c r="A276" s="898">
        <v>6.52</v>
      </c>
      <c r="B276" s="501"/>
      <c r="C276" s="1109">
        <v>3.7000000000000999E-3</v>
      </c>
    </row>
    <row r="277" spans="1:3" s="503" customFormat="1">
      <c r="A277" s="898">
        <v>6.48</v>
      </c>
      <c r="B277" s="501"/>
      <c r="C277" s="1109">
        <v>3.6000000000001001E-3</v>
      </c>
    </row>
    <row r="278" spans="1:3" s="503" customFormat="1">
      <c r="A278" s="898">
        <v>6.45</v>
      </c>
      <c r="B278" s="501"/>
      <c r="C278" s="1109">
        <v>3.5000000000000998E-3</v>
      </c>
    </row>
    <row r="279" spans="1:3" s="503" customFormat="1">
      <c r="A279" s="898">
        <v>6.41</v>
      </c>
      <c r="B279" s="501"/>
      <c r="C279" s="1109">
        <v>3.4000000000001E-3</v>
      </c>
    </row>
    <row r="280" spans="1:3" s="503" customFormat="1">
      <c r="A280" s="898">
        <v>6.11</v>
      </c>
      <c r="B280" s="501"/>
      <c r="C280" s="1109">
        <v>3.3000000000001002E-3</v>
      </c>
    </row>
    <row r="281" spans="1:3" s="503" customFormat="1">
      <c r="A281" s="898">
        <v>6.11</v>
      </c>
      <c r="B281" s="501"/>
      <c r="C281" s="1109">
        <v>3.2000000000000999E-3</v>
      </c>
    </row>
    <row r="282" spans="1:3" s="503" customFormat="1">
      <c r="A282" s="898">
        <v>6.11</v>
      </c>
      <c r="B282" s="501"/>
      <c r="C282" s="1109">
        <v>3.1000000000001001E-3</v>
      </c>
    </row>
    <row r="283" spans="1:3" s="503" customFormat="1">
      <c r="A283" s="898">
        <v>6.06</v>
      </c>
      <c r="B283" s="501"/>
      <c r="C283" s="1109">
        <v>3.0000000000000998E-3</v>
      </c>
    </row>
    <row r="284" spans="1:3" s="503" customFormat="1">
      <c r="A284" s="898">
        <v>6.03</v>
      </c>
      <c r="B284" s="501"/>
      <c r="C284" s="1109">
        <v>2.9000000000001E-3</v>
      </c>
    </row>
    <row r="285" spans="1:3" s="503" customFormat="1">
      <c r="A285" s="898">
        <v>6.02</v>
      </c>
      <c r="B285" s="501"/>
      <c r="C285" s="1109">
        <v>2.8000000000001002E-3</v>
      </c>
    </row>
    <row r="286" spans="1:3" s="503" customFormat="1">
      <c r="A286" s="898">
        <v>5.77</v>
      </c>
      <c r="B286" s="501"/>
      <c r="C286" s="1109">
        <v>2.7000000000000999E-3</v>
      </c>
    </row>
    <row r="287" spans="1:3" s="503" customFormat="1">
      <c r="A287" s="898">
        <v>5.68</v>
      </c>
      <c r="B287" s="501"/>
      <c r="C287" s="1109">
        <v>2.6000000000001001E-3</v>
      </c>
    </row>
    <row r="288" spans="1:3" s="503" customFormat="1">
      <c r="A288" s="898">
        <v>5.66</v>
      </c>
      <c r="B288" s="501"/>
      <c r="C288" s="1109">
        <v>2.5000000000000998E-3</v>
      </c>
    </row>
    <row r="289" spans="1:3" s="503" customFormat="1">
      <c r="A289" s="898">
        <v>5.65</v>
      </c>
      <c r="B289" s="501"/>
      <c r="C289" s="1109">
        <v>2.4000000000001E-3</v>
      </c>
    </row>
    <row r="290" spans="1:3" s="503" customFormat="1">
      <c r="A290" s="898">
        <v>5.64</v>
      </c>
      <c r="B290" s="501"/>
      <c r="C290" s="1109">
        <v>2.3000000000001001E-3</v>
      </c>
    </row>
    <row r="291" spans="1:3" s="503" customFormat="1">
      <c r="A291" s="898">
        <v>5.64</v>
      </c>
      <c r="B291" s="501"/>
      <c r="C291" s="1109">
        <v>2.2000000000000999E-3</v>
      </c>
    </row>
    <row r="292" spans="1:3" s="503" customFormat="1">
      <c r="A292" s="898">
        <v>5.47</v>
      </c>
      <c r="B292" s="501"/>
      <c r="C292" s="1109">
        <v>2.1000000000001001E-3</v>
      </c>
    </row>
    <row r="293" spans="1:3" s="503" customFormat="1">
      <c r="A293" s="898">
        <v>5.33</v>
      </c>
      <c r="B293" s="501"/>
      <c r="C293" s="1109">
        <v>2.0000000000000998E-3</v>
      </c>
    </row>
    <row r="294" spans="1:3" s="503" customFormat="1">
      <c r="A294" s="898">
        <v>5.28</v>
      </c>
      <c r="B294" s="501"/>
      <c r="C294" s="1109">
        <v>1.9000000000001E-3</v>
      </c>
    </row>
    <row r="295" spans="1:3" s="503" customFormat="1">
      <c r="A295" s="898">
        <v>5.27</v>
      </c>
      <c r="B295" s="501"/>
      <c r="C295" s="1109">
        <v>1.8000000000000999E-3</v>
      </c>
    </row>
    <row r="296" spans="1:3" s="503" customFormat="1">
      <c r="A296" s="898">
        <v>5.24</v>
      </c>
      <c r="B296" s="501"/>
      <c r="C296" s="1109">
        <v>1.7000000000001001E-3</v>
      </c>
    </row>
    <row r="297" spans="1:3" s="503" customFormat="1">
      <c r="A297" s="898">
        <v>5.22</v>
      </c>
      <c r="B297" s="501"/>
      <c r="C297" s="1109">
        <v>1.6000000000001E-3</v>
      </c>
    </row>
    <row r="298" spans="1:3" s="503" customFormat="1">
      <c r="A298" s="898">
        <v>5.2</v>
      </c>
      <c r="B298" s="501"/>
      <c r="C298" s="1109">
        <v>1.5000000000001E-3</v>
      </c>
    </row>
    <row r="299" spans="1:3" s="503" customFormat="1">
      <c r="A299" s="898">
        <v>5.03</v>
      </c>
      <c r="B299" s="501"/>
      <c r="C299" s="1109">
        <v>1.4000000000000999E-3</v>
      </c>
    </row>
    <row r="300" spans="1:3" s="503" customFormat="1">
      <c r="A300" s="898">
        <v>4.95</v>
      </c>
      <c r="B300" s="501"/>
      <c r="C300" s="1109">
        <v>1.3000000000000999E-3</v>
      </c>
    </row>
    <row r="301" spans="1:3" s="503" customFormat="1">
      <c r="A301" s="898">
        <v>4.9400000000000004</v>
      </c>
      <c r="B301" s="501"/>
      <c r="C301" s="1109">
        <v>1.2000000000001001E-3</v>
      </c>
    </row>
    <row r="302" spans="1:3" s="503" customFormat="1">
      <c r="A302" s="898">
        <v>4.91</v>
      </c>
      <c r="B302" s="501"/>
      <c r="C302" s="1109">
        <v>1.1000000000001E-3</v>
      </c>
    </row>
    <row r="303" spans="1:3" s="503" customFormat="1">
      <c r="A303" s="898">
        <v>4.87</v>
      </c>
      <c r="B303" s="501"/>
      <c r="C303" s="1109">
        <v>1.0000000000001E-3</v>
      </c>
    </row>
    <row r="304" spans="1:3" s="503" customFormat="1">
      <c r="A304" s="898">
        <v>4.82</v>
      </c>
      <c r="B304" s="501"/>
      <c r="C304" s="1109">
        <v>9.0000000000009896E-4</v>
      </c>
    </row>
    <row r="305" spans="1:3" s="503" customFormat="1">
      <c r="A305" s="898">
        <v>4.75</v>
      </c>
      <c r="B305" s="501"/>
      <c r="C305" s="1109">
        <v>8.0000000000009903E-4</v>
      </c>
    </row>
    <row r="306" spans="1:3" s="503" customFormat="1">
      <c r="A306" s="898">
        <v>4.74</v>
      </c>
      <c r="B306" s="501"/>
      <c r="C306" s="1109">
        <v>7.0000000000009996E-4</v>
      </c>
    </row>
    <row r="307" spans="1:3" s="503" customFormat="1">
      <c r="A307" s="898">
        <v>4.63</v>
      </c>
      <c r="B307" s="501"/>
      <c r="C307" s="1109">
        <v>6.0000000000010002E-4</v>
      </c>
    </row>
    <row r="308" spans="1:3" s="503" customFormat="1">
      <c r="A308" s="898">
        <v>4.57</v>
      </c>
      <c r="B308" s="501"/>
      <c r="C308" s="1109">
        <v>5.0000000000009802E-4</v>
      </c>
    </row>
    <row r="309" spans="1:3" s="503" customFormat="1">
      <c r="A309" s="898">
        <v>4.54</v>
      </c>
      <c r="B309" s="501"/>
      <c r="C309" s="1109">
        <v>4.0000000000009798E-4</v>
      </c>
    </row>
    <row r="310" spans="1:3" s="503" customFormat="1">
      <c r="A310" s="898">
        <v>4.5199999999999996</v>
      </c>
      <c r="B310" s="501"/>
      <c r="C310" s="1109">
        <v>3.0000000000009902E-4</v>
      </c>
    </row>
    <row r="311" spans="1:3" s="503" customFormat="1">
      <c r="A311" s="898">
        <v>4.5</v>
      </c>
      <c r="B311" s="501"/>
      <c r="C311" s="1109">
        <v>2.00000000000099E-4</v>
      </c>
    </row>
    <row r="312" spans="1:3" s="503" customFormat="1">
      <c r="A312" s="898">
        <v>4.45</v>
      </c>
      <c r="B312" s="501"/>
      <c r="C312" s="1109">
        <v>1.000000000001E-4</v>
      </c>
    </row>
    <row r="313" spans="1:3" s="503" customFormat="1">
      <c r="A313" s="898">
        <v>4.3600000000000003</v>
      </c>
      <c r="B313" s="501"/>
    </row>
    <row r="314" spans="1:3" s="503" customFormat="1">
      <c r="A314" s="898">
        <v>4.3600000000000003</v>
      </c>
      <c r="B314" s="501"/>
    </row>
    <row r="315" spans="1:3" s="503" customFormat="1">
      <c r="A315" s="898">
        <v>4.28</v>
      </c>
      <c r="B315" s="501"/>
    </row>
    <row r="316" spans="1:3" s="503" customFormat="1">
      <c r="A316" s="898">
        <v>4.2699999999999996</v>
      </c>
      <c r="B316" s="501"/>
    </row>
    <row r="317" spans="1:3" s="503" customFormat="1">
      <c r="A317" s="898">
        <v>4.21</v>
      </c>
      <c r="B317" s="501"/>
    </row>
    <row r="318" spans="1:3" s="503" customFormat="1">
      <c r="A318" s="898">
        <v>4.1900000000000004</v>
      </c>
      <c r="B318" s="501"/>
    </row>
    <row r="319" spans="1:3" s="503" customFormat="1">
      <c r="A319" s="898">
        <v>4.12</v>
      </c>
      <c r="B319" s="501"/>
    </row>
    <row r="320" spans="1:3" s="503" customFormat="1">
      <c r="A320" s="898">
        <v>4.1100000000000003</v>
      </c>
      <c r="B320" s="501"/>
    </row>
    <row r="321" spans="1:2" s="503" customFormat="1">
      <c r="A321" s="898">
        <v>4.07</v>
      </c>
      <c r="B321" s="501"/>
    </row>
    <row r="322" spans="1:2" s="503" customFormat="1">
      <c r="A322" s="898">
        <v>4.03</v>
      </c>
      <c r="B322" s="501"/>
    </row>
    <row r="323" spans="1:2" s="503" customFormat="1">
      <c r="A323" s="898">
        <v>3.99</v>
      </c>
      <c r="B323" s="501"/>
    </row>
    <row r="324" spans="1:2" s="503" customFormat="1">
      <c r="A324" s="898">
        <v>3.92</v>
      </c>
      <c r="B324" s="501"/>
    </row>
    <row r="325" spans="1:2" s="503" customFormat="1">
      <c r="A325" s="898">
        <v>3.89</v>
      </c>
      <c r="B325" s="501"/>
    </row>
    <row r="326" spans="1:2" s="503" customFormat="1">
      <c r="A326" s="898">
        <v>3.88</v>
      </c>
      <c r="B326" s="501"/>
    </row>
    <row r="327" spans="1:2" s="503" customFormat="1">
      <c r="A327" s="898">
        <v>3.87</v>
      </c>
      <c r="B327" s="501"/>
    </row>
    <row r="328" spans="1:2" s="503" customFormat="1">
      <c r="A328" s="898">
        <v>3.82</v>
      </c>
      <c r="B328" s="501"/>
    </row>
    <row r="329" spans="1:2" s="503" customFormat="1">
      <c r="A329" s="898">
        <v>3.75</v>
      </c>
      <c r="B329" s="501"/>
    </row>
    <row r="330" spans="1:2" s="503" customFormat="1">
      <c r="A330" s="898">
        <v>3.73</v>
      </c>
      <c r="B330" s="501"/>
    </row>
    <row r="331" spans="1:2" s="503" customFormat="1">
      <c r="A331" s="898">
        <v>3.71</v>
      </c>
      <c r="B331" s="501"/>
    </row>
    <row r="332" spans="1:2" s="503" customFormat="1">
      <c r="A332" s="898">
        <v>3.69</v>
      </c>
      <c r="B332" s="501"/>
    </row>
    <row r="333" spans="1:2" s="503" customFormat="1">
      <c r="A333" s="898">
        <v>3.66</v>
      </c>
      <c r="B333" s="501"/>
    </row>
    <row r="334" spans="1:2" s="503" customFormat="1">
      <c r="A334" s="898">
        <v>3.6</v>
      </c>
      <c r="B334" s="501"/>
    </row>
    <row r="335" spans="1:2" s="503" customFormat="1">
      <c r="A335" s="898">
        <v>3.55</v>
      </c>
      <c r="B335" s="501"/>
    </row>
    <row r="336" spans="1:2" s="503" customFormat="1">
      <c r="A336" s="898">
        <v>3.55</v>
      </c>
      <c r="B336" s="501"/>
    </row>
    <row r="337" spans="1:2" s="503" customFormat="1">
      <c r="A337" s="898">
        <v>3.53</v>
      </c>
      <c r="B337" s="501"/>
    </row>
    <row r="338" spans="1:2" s="503" customFormat="1">
      <c r="A338" s="898">
        <v>3.51</v>
      </c>
      <c r="B338" s="501"/>
    </row>
    <row r="339" spans="1:2" s="503" customFormat="1">
      <c r="A339" s="898">
        <v>3.47</v>
      </c>
      <c r="B339" s="501"/>
    </row>
    <row r="340" spans="1:2" s="503" customFormat="1">
      <c r="A340" s="898">
        <v>3.44</v>
      </c>
      <c r="B340" s="501"/>
    </row>
    <row r="341" spans="1:2" s="503" customFormat="1">
      <c r="A341" s="898">
        <v>3.4</v>
      </c>
      <c r="B341" s="501"/>
    </row>
    <row r="342" spans="1:2" s="503" customFormat="1">
      <c r="A342" s="898">
        <v>3.36</v>
      </c>
      <c r="B342" s="501"/>
    </row>
    <row r="343" spans="1:2" s="503" customFormat="1">
      <c r="A343" s="898">
        <v>3.35</v>
      </c>
      <c r="B343" s="501"/>
    </row>
    <row r="344" spans="1:2" s="503" customFormat="1">
      <c r="A344" s="898">
        <v>3.33</v>
      </c>
      <c r="B344" s="501"/>
    </row>
    <row r="345" spans="1:2" s="503" customFormat="1">
      <c r="A345" s="898">
        <v>3.32</v>
      </c>
      <c r="B345" s="501"/>
    </row>
    <row r="346" spans="1:2" s="503" customFormat="1">
      <c r="A346" s="898">
        <v>3.26</v>
      </c>
      <c r="B346" s="501"/>
    </row>
    <row r="347" spans="1:2" s="503" customFormat="1">
      <c r="A347" s="898">
        <v>3.24</v>
      </c>
      <c r="B347" s="501"/>
    </row>
    <row r="348" spans="1:2" s="503" customFormat="1">
      <c r="A348" s="898">
        <v>3.24</v>
      </c>
      <c r="B348" s="501"/>
    </row>
    <row r="349" spans="1:2" s="503" customFormat="1">
      <c r="A349" s="898">
        <v>3.22</v>
      </c>
      <c r="B349" s="501"/>
    </row>
    <row r="350" spans="1:2" s="503" customFormat="1">
      <c r="A350" s="898">
        <v>3.16</v>
      </c>
      <c r="B350" s="501"/>
    </row>
    <row r="351" spans="1:2" s="503" customFormat="1">
      <c r="A351" s="898">
        <v>3.11</v>
      </c>
      <c r="B351" s="501"/>
    </row>
    <row r="352" spans="1:2" s="503" customFormat="1">
      <c r="A352" s="898">
        <v>3.1</v>
      </c>
      <c r="B352" s="501"/>
    </row>
    <row r="353" spans="1:2" s="503" customFormat="1">
      <c r="A353" s="898">
        <v>3.06</v>
      </c>
      <c r="B353" s="501"/>
    </row>
    <row r="354" spans="1:2" s="503" customFormat="1">
      <c r="A354" s="898">
        <v>3</v>
      </c>
      <c r="B354" s="501"/>
    </row>
    <row r="355" spans="1:2" s="503" customFormat="1">
      <c r="A355" s="898">
        <v>2.99</v>
      </c>
      <c r="B355" s="501"/>
    </row>
    <row r="356" spans="1:2" s="503" customFormat="1">
      <c r="A356" s="898">
        <v>2.93</v>
      </c>
      <c r="B356" s="501"/>
    </row>
    <row r="357" spans="1:2" s="503" customFormat="1">
      <c r="A357" s="898">
        <v>2.91</v>
      </c>
      <c r="B357" s="501"/>
    </row>
    <row r="358" spans="1:2" s="503" customFormat="1">
      <c r="A358" s="898">
        <v>2.9</v>
      </c>
      <c r="B358" s="501"/>
    </row>
    <row r="359" spans="1:2" s="503" customFormat="1">
      <c r="A359" s="898">
        <v>2.86</v>
      </c>
      <c r="B359" s="501"/>
    </row>
    <row r="360" spans="1:2" s="503" customFormat="1">
      <c r="A360" s="898">
        <v>2.81</v>
      </c>
      <c r="B360" s="501"/>
    </row>
    <row r="361" spans="1:2" s="503" customFormat="1">
      <c r="A361" s="898">
        <v>2.78</v>
      </c>
      <c r="B361" s="501"/>
    </row>
    <row r="362" spans="1:2" s="503" customFormat="1">
      <c r="A362" s="898">
        <v>2.77</v>
      </c>
      <c r="B362" s="501"/>
    </row>
    <row r="363" spans="1:2" s="503" customFormat="1">
      <c r="A363" s="898">
        <v>2.74</v>
      </c>
      <c r="B363" s="501"/>
    </row>
    <row r="364" spans="1:2" s="503" customFormat="1">
      <c r="A364" s="898">
        <v>2.67</v>
      </c>
      <c r="B364" s="501"/>
    </row>
    <row r="365" spans="1:2" s="503" customFormat="1">
      <c r="A365" s="898">
        <v>2.62</v>
      </c>
      <c r="B365" s="501"/>
    </row>
    <row r="366" spans="1:2" s="503" customFormat="1">
      <c r="A366" s="898">
        <v>2.57</v>
      </c>
      <c r="B366" s="501"/>
    </row>
    <row r="367" spans="1:2" s="503" customFormat="1">
      <c r="A367" s="898">
        <v>2.5</v>
      </c>
      <c r="B367" s="501"/>
    </row>
    <row r="368" spans="1:2" s="503" customFormat="1">
      <c r="A368" s="898">
        <v>2.46</v>
      </c>
      <c r="B368" s="501"/>
    </row>
    <row r="369" s="503" customFormat="1"/>
    <row r="370" s="503" customFormat="1"/>
    <row r="371" s="503" customFormat="1"/>
    <row r="372" s="503" customFormat="1"/>
    <row r="373" s="503" customFormat="1"/>
    <row r="374" s="503" customFormat="1"/>
    <row r="375" s="503" customFormat="1"/>
    <row r="376" s="503" customFormat="1"/>
    <row r="377" s="503" customFormat="1"/>
    <row r="378" s="503" customFormat="1"/>
    <row r="379" s="503" customFormat="1"/>
    <row r="380" s="503" customFormat="1"/>
    <row r="381" s="503" customFormat="1"/>
    <row r="382" s="503" customFormat="1"/>
    <row r="383" s="503" customFormat="1"/>
    <row r="384" s="503" customFormat="1"/>
    <row r="385" s="503" customFormat="1"/>
    <row r="386" s="503" customFormat="1"/>
    <row r="387" s="503" customFormat="1"/>
    <row r="388" s="503" customFormat="1"/>
    <row r="389" s="503" customFormat="1"/>
    <row r="390" s="503" customFormat="1"/>
    <row r="391" s="503" customFormat="1"/>
    <row r="392" s="503" customFormat="1"/>
    <row r="393" s="503" customFormat="1"/>
    <row r="394" s="503" customFormat="1"/>
    <row r="395" s="503" customFormat="1"/>
    <row r="396" s="503" customFormat="1"/>
    <row r="397" s="503" customFormat="1"/>
    <row r="398" s="503" customFormat="1"/>
    <row r="399" s="503" customFormat="1"/>
    <row r="400" s="503" customFormat="1"/>
    <row r="401" s="503" customFormat="1"/>
    <row r="402" s="503" customFormat="1"/>
    <row r="403" s="503" customFormat="1"/>
    <row r="404" s="503" customFormat="1"/>
    <row r="405" s="503" customFormat="1"/>
    <row r="406" s="503" customFormat="1"/>
    <row r="407" s="503" customFormat="1"/>
    <row r="408" s="503" customFormat="1"/>
    <row r="409" s="503" customFormat="1"/>
    <row r="410" s="503" customFormat="1"/>
    <row r="411" s="503" customFormat="1"/>
    <row r="412" s="503" customFormat="1"/>
    <row r="413" s="503" customFormat="1"/>
    <row r="414" s="503" customFormat="1"/>
    <row r="415" s="503" customFormat="1"/>
    <row r="416" s="503" customFormat="1"/>
    <row r="417" s="503" customFormat="1"/>
    <row r="418" s="503" customFormat="1"/>
    <row r="419" s="503" customFormat="1"/>
    <row r="420" s="503" customFormat="1"/>
    <row r="421" s="503" customFormat="1"/>
    <row r="422" s="503" customFormat="1"/>
    <row r="423" s="503" customFormat="1"/>
    <row r="424" s="503" customFormat="1"/>
    <row r="425" s="503" customFormat="1"/>
    <row r="426" s="503" customFormat="1"/>
    <row r="427" s="503" customFormat="1"/>
    <row r="428" s="503" customFormat="1"/>
    <row r="429" s="503" customFormat="1"/>
    <row r="430" s="503" customFormat="1"/>
    <row r="431" s="503" customFormat="1"/>
    <row r="432" s="503" customFormat="1"/>
    <row r="433" s="503" customFormat="1"/>
    <row r="434" s="503" customFormat="1"/>
    <row r="435" s="503" customFormat="1"/>
    <row r="436" s="503" customFormat="1"/>
    <row r="437" s="503" customFormat="1"/>
    <row r="438" s="503" customFormat="1"/>
    <row r="439" s="503" customFormat="1"/>
    <row r="440" s="503" customFormat="1"/>
    <row r="441" s="503" customFormat="1"/>
    <row r="442" s="503" customFormat="1"/>
    <row r="443" s="503" customFormat="1"/>
    <row r="444" s="503" customFormat="1"/>
    <row r="445" s="503" customFormat="1"/>
    <row r="446" s="503" customFormat="1"/>
    <row r="447" s="503" customFormat="1"/>
    <row r="448" s="503" customFormat="1"/>
    <row r="449" s="503" customFormat="1"/>
    <row r="450" s="503" customFormat="1"/>
    <row r="451" s="503" customFormat="1"/>
    <row r="452" s="503" customFormat="1"/>
    <row r="453" s="503" customFormat="1"/>
    <row r="454" s="503" customFormat="1"/>
    <row r="455" s="503" customFormat="1"/>
    <row r="456" s="503" customFormat="1"/>
    <row r="457" s="503" customFormat="1"/>
    <row r="458" s="503" customFormat="1"/>
    <row r="459" s="503" customFormat="1"/>
    <row r="460" s="503" customFormat="1"/>
    <row r="461" s="503" customFormat="1"/>
    <row r="462" s="503" customFormat="1"/>
    <row r="463" s="503" customFormat="1"/>
    <row r="464" s="503" customFormat="1"/>
    <row r="465" s="503" customFormat="1"/>
    <row r="466" s="503" customFormat="1"/>
    <row r="467" s="503" customFormat="1"/>
    <row r="468" s="503" customFormat="1"/>
    <row r="469" s="503" customFormat="1"/>
    <row r="470" s="503" customFormat="1"/>
    <row r="471" s="503" customFormat="1"/>
    <row r="472" s="503" customFormat="1"/>
    <row r="473" s="503" customFormat="1"/>
    <row r="474" s="503" customFormat="1"/>
    <row r="475" s="503" customFormat="1"/>
    <row r="476" s="503" customFormat="1"/>
    <row r="477" s="503" customFormat="1"/>
    <row r="478" s="503" customFormat="1"/>
    <row r="479" s="503" customFormat="1"/>
    <row r="480" s="503" customFormat="1"/>
    <row r="481" s="503" customFormat="1"/>
    <row r="482" s="503" customFormat="1"/>
    <row r="483" s="503" customFormat="1"/>
    <row r="484" s="503" customFormat="1"/>
    <row r="485" s="503" customFormat="1"/>
    <row r="486" s="503" customFormat="1"/>
    <row r="487" s="503" customFormat="1"/>
    <row r="488" s="503" customFormat="1"/>
    <row r="489" s="503" customFormat="1"/>
    <row r="490" s="503" customFormat="1"/>
    <row r="491" s="503" customFormat="1"/>
    <row r="492" s="503" customFormat="1"/>
    <row r="493" s="503" customFormat="1"/>
    <row r="494" s="503" customFormat="1"/>
    <row r="495" s="503" customFormat="1"/>
    <row r="496" s="503" customFormat="1"/>
    <row r="497" s="503" customFormat="1"/>
    <row r="498" s="503" customFormat="1"/>
    <row r="499" s="503" customFormat="1"/>
    <row r="500" s="503" customFormat="1"/>
    <row r="501" s="503" customFormat="1"/>
    <row r="502" s="503" customFormat="1"/>
    <row r="503" s="503" customFormat="1"/>
    <row r="504" s="503" customFormat="1"/>
    <row r="505" s="503" customFormat="1"/>
    <row r="506" s="503" customFormat="1"/>
    <row r="507" s="503" customFormat="1"/>
    <row r="508" s="503" customFormat="1"/>
    <row r="509" s="503" customFormat="1"/>
    <row r="510" s="503" customFormat="1"/>
    <row r="511" s="503" customFormat="1"/>
    <row r="512" s="503" customFormat="1"/>
    <row r="513" s="503" customFormat="1"/>
    <row r="514" s="503" customFormat="1"/>
    <row r="515" s="503" customFormat="1"/>
    <row r="516" s="503" customFormat="1"/>
    <row r="517" s="503" customFormat="1"/>
    <row r="518" s="503" customFormat="1"/>
    <row r="519" s="503" customFormat="1"/>
    <row r="520" s="503" customFormat="1"/>
    <row r="521" s="503" customFormat="1"/>
    <row r="522" s="503" customFormat="1"/>
    <row r="523" s="503" customFormat="1"/>
    <row r="524" s="503" customFormat="1"/>
    <row r="525" s="503" customFormat="1"/>
    <row r="526" s="503" customFormat="1"/>
    <row r="527" s="503" customFormat="1"/>
    <row r="528" s="503" customFormat="1"/>
    <row r="529" s="503" customFormat="1"/>
    <row r="530" s="503" customFormat="1"/>
    <row r="531" s="503" customFormat="1"/>
    <row r="532" s="503" customFormat="1"/>
    <row r="533" s="503" customFormat="1"/>
    <row r="534" s="503" customFormat="1"/>
    <row r="535" s="503" customFormat="1"/>
    <row r="536" s="503" customFormat="1"/>
    <row r="537" s="503" customFormat="1"/>
    <row r="538" s="503" customFormat="1"/>
    <row r="539" s="503" customFormat="1"/>
    <row r="540" s="503" customFormat="1"/>
    <row r="541" s="503" customFormat="1"/>
    <row r="542" s="503" customFormat="1"/>
    <row r="543" s="503" customFormat="1"/>
    <row r="544" s="503" customFormat="1"/>
    <row r="545" s="503" customFormat="1"/>
    <row r="546" s="503" customFormat="1"/>
    <row r="547" s="503" customFormat="1"/>
    <row r="548" s="503" customFormat="1"/>
    <row r="549" s="503" customFormat="1"/>
    <row r="550" s="503" customFormat="1"/>
    <row r="551" s="503" customFormat="1"/>
    <row r="552" s="503" customFormat="1"/>
    <row r="553" s="503" customFormat="1"/>
    <row r="554" s="503" customFormat="1"/>
    <row r="555" s="503" customFormat="1"/>
    <row r="556" s="503" customFormat="1"/>
    <row r="557" s="503" customFormat="1"/>
    <row r="558" s="503" customFormat="1"/>
    <row r="559" s="503" customFormat="1"/>
    <row r="560" s="503" customFormat="1"/>
    <row r="561" s="503" customFormat="1"/>
    <row r="562" s="503" customFormat="1"/>
    <row r="563" s="503" customFormat="1"/>
    <row r="564" s="503" customFormat="1"/>
    <row r="565" s="503" customFormat="1"/>
    <row r="566" s="503" customFormat="1"/>
    <row r="567" s="503" customFormat="1"/>
    <row r="568" s="503" customFormat="1"/>
    <row r="569" s="503" customFormat="1"/>
    <row r="570" s="503" customFormat="1"/>
    <row r="571" s="503" customFormat="1"/>
    <row r="572" s="503" customFormat="1"/>
    <row r="573" s="503" customFormat="1"/>
    <row r="574" s="503" customFormat="1"/>
    <row r="575" s="503" customFormat="1"/>
    <row r="576" s="503" customFormat="1"/>
    <row r="577" s="503" customFormat="1"/>
    <row r="578" s="503" customFormat="1"/>
    <row r="579" s="503" customFormat="1"/>
    <row r="580" s="503" customFormat="1"/>
    <row r="581" s="503" customFormat="1"/>
    <row r="582" s="503" customFormat="1"/>
    <row r="583" s="503" customFormat="1"/>
    <row r="584" s="503" customFormat="1"/>
    <row r="585" s="503" customFormat="1"/>
    <row r="586" s="503" customFormat="1"/>
    <row r="587" s="503" customFormat="1"/>
    <row r="588" s="503" customFormat="1"/>
    <row r="589" s="503" customFormat="1"/>
    <row r="590" s="503" customFormat="1"/>
    <row r="591" s="503" customFormat="1"/>
    <row r="592" s="503" customFormat="1"/>
    <row r="593" s="503" customFormat="1"/>
    <row r="594" s="503" customFormat="1"/>
    <row r="595" s="503" customFormat="1"/>
    <row r="596" s="503" customFormat="1"/>
    <row r="597" s="503" customFormat="1"/>
    <row r="598" s="503" customFormat="1"/>
    <row r="599" s="503" customFormat="1"/>
    <row r="600" s="503" customFormat="1"/>
    <row r="601" s="503" customFormat="1"/>
    <row r="602" s="503" customFormat="1"/>
    <row r="603" s="503" customFormat="1"/>
    <row r="604" s="503" customFormat="1"/>
    <row r="605" s="503" customFormat="1"/>
    <row r="606" s="503" customFormat="1"/>
    <row r="607" s="503" customFormat="1"/>
    <row r="608" s="503" customFormat="1"/>
    <row r="609" s="503" customFormat="1"/>
    <row r="610" s="503" customFormat="1"/>
    <row r="611" s="503" customFormat="1"/>
    <row r="612" s="503" customFormat="1"/>
    <row r="613" s="503" customFormat="1"/>
    <row r="614" s="503" customFormat="1"/>
    <row r="615" s="503" customFormat="1"/>
    <row r="616" s="503" customFormat="1"/>
    <row r="617" s="503" customFormat="1"/>
    <row r="618" s="503" customFormat="1"/>
    <row r="619" s="503" customFormat="1"/>
    <row r="620" s="503" customFormat="1"/>
    <row r="621" s="503" customFormat="1"/>
    <row r="622" s="503" customFormat="1"/>
    <row r="623" s="503" customFormat="1"/>
    <row r="624" s="503" customFormat="1"/>
    <row r="625" s="503" customFormat="1"/>
    <row r="626" s="503" customFormat="1"/>
    <row r="627" s="503" customFormat="1"/>
    <row r="628" s="503" customFormat="1"/>
    <row r="629" s="503" customFormat="1"/>
    <row r="630" s="503" customFormat="1"/>
    <row r="631" s="503" customFormat="1"/>
    <row r="632" s="503" customFormat="1"/>
    <row r="633" s="503" customFormat="1"/>
    <row r="634" s="503" customFormat="1"/>
    <row r="635" s="503" customFormat="1"/>
    <row r="636" s="503" customFormat="1"/>
    <row r="637" s="503" customFormat="1"/>
    <row r="638" s="503" customFormat="1"/>
    <row r="639" s="503" customFormat="1"/>
    <row r="640" s="503" customFormat="1"/>
    <row r="641" s="503" customFormat="1"/>
    <row r="642" s="503" customFormat="1"/>
    <row r="643" s="503" customFormat="1"/>
    <row r="644" s="503" customFormat="1"/>
    <row r="645" s="503" customFormat="1"/>
    <row r="646" s="503" customFormat="1"/>
    <row r="647" s="503" customFormat="1"/>
    <row r="648" s="503" customFormat="1"/>
    <row r="649" s="503" customFormat="1"/>
    <row r="650" s="503" customFormat="1"/>
    <row r="651" s="503" customFormat="1"/>
    <row r="652" s="503" customFormat="1"/>
    <row r="653" s="503" customFormat="1"/>
    <row r="654" s="503" customFormat="1"/>
    <row r="655" s="503" customFormat="1"/>
    <row r="656" s="503" customFormat="1"/>
    <row r="657" s="503" customFormat="1"/>
    <row r="658" s="503" customFormat="1"/>
    <row r="659" s="503" customFormat="1"/>
    <row r="660" s="503" customFormat="1"/>
    <row r="661" s="503" customFormat="1"/>
    <row r="662" s="503" customFormat="1"/>
    <row r="663" s="503" customFormat="1"/>
    <row r="664" s="503" customFormat="1"/>
    <row r="665" s="503" customFormat="1"/>
    <row r="666" s="503" customFormat="1"/>
    <row r="667" s="503" customFormat="1"/>
    <row r="668" s="503" customFormat="1"/>
    <row r="669" s="503" customFormat="1"/>
    <row r="670" s="503" customFormat="1"/>
    <row r="671" s="503" customFormat="1"/>
    <row r="672" s="503" customFormat="1"/>
    <row r="673" s="503" customFormat="1"/>
    <row r="674" s="503" customFormat="1"/>
    <row r="675" s="503" customFormat="1"/>
    <row r="676" s="503" customFormat="1"/>
    <row r="677" s="503" customFormat="1"/>
    <row r="678" s="503" customFormat="1"/>
    <row r="679" s="503" customFormat="1"/>
    <row r="680" s="503" customFormat="1"/>
    <row r="681" s="503" customFormat="1"/>
    <row r="682" s="503" customFormat="1"/>
    <row r="683" s="503" customFormat="1"/>
    <row r="684" s="503" customFormat="1"/>
    <row r="685" s="503" customFormat="1"/>
    <row r="686" s="503" customFormat="1"/>
    <row r="687" s="503" customFormat="1"/>
    <row r="688" s="503" customFormat="1"/>
    <row r="689" s="503" customFormat="1"/>
    <row r="690" s="503" customFormat="1"/>
    <row r="691" s="503" customFormat="1"/>
    <row r="692" s="503" customFormat="1"/>
    <row r="693" s="503" customFormat="1"/>
    <row r="694" s="503" customFormat="1"/>
    <row r="695" s="503" customFormat="1"/>
    <row r="696" s="503" customFormat="1"/>
    <row r="697" s="503" customFormat="1"/>
    <row r="698" s="503" customFormat="1"/>
    <row r="699" s="503" customFormat="1"/>
    <row r="700" s="503" customFormat="1"/>
    <row r="701" s="503" customFormat="1"/>
    <row r="702" s="503" customFormat="1"/>
    <row r="703" s="503" customFormat="1"/>
    <row r="704" s="503" customFormat="1"/>
    <row r="705" s="503" customFormat="1"/>
    <row r="706" s="503" customFormat="1"/>
    <row r="707" s="503" customFormat="1"/>
    <row r="708" s="503" customFormat="1"/>
    <row r="709" s="503" customFormat="1"/>
    <row r="710" s="503" customFormat="1"/>
    <row r="711" s="503" customFormat="1"/>
    <row r="712" s="503" customFormat="1"/>
    <row r="713" s="503" customFormat="1"/>
    <row r="714" s="503" customFormat="1"/>
    <row r="715" s="503" customFormat="1"/>
    <row r="716" s="503" customFormat="1"/>
    <row r="717" s="503" customFormat="1"/>
    <row r="718" s="503" customFormat="1"/>
    <row r="719" s="503" customFormat="1"/>
    <row r="720" s="503" customFormat="1"/>
    <row r="721" s="503" customFormat="1"/>
    <row r="722" s="503" customFormat="1"/>
    <row r="723" s="503" customFormat="1"/>
    <row r="724" s="503" customFormat="1"/>
    <row r="725" s="503" customFormat="1"/>
    <row r="726" s="503" customFormat="1"/>
    <row r="727" s="503" customFormat="1"/>
    <row r="728" s="503" customFormat="1"/>
    <row r="729" s="503" customFormat="1"/>
    <row r="730" s="503" customFormat="1"/>
    <row r="731" s="503" customFormat="1"/>
    <row r="732" s="503" customFormat="1"/>
    <row r="733" s="503" customFormat="1"/>
    <row r="734" s="503" customFormat="1"/>
    <row r="735" s="503" customFormat="1"/>
    <row r="736" s="503" customFormat="1"/>
    <row r="737" s="503" customFormat="1"/>
    <row r="738" s="503" customFormat="1"/>
    <row r="739" s="503" customFormat="1"/>
    <row r="740" s="503" customFormat="1"/>
    <row r="741" s="503" customFormat="1"/>
    <row r="742" s="503" customFormat="1"/>
    <row r="743" s="503" customFormat="1"/>
    <row r="744" s="503" customFormat="1"/>
    <row r="745" s="503" customFormat="1"/>
    <row r="746" s="503" customFormat="1"/>
    <row r="747" s="503" customFormat="1"/>
    <row r="748" s="503" customFormat="1"/>
    <row r="749" s="503" customFormat="1"/>
    <row r="750" s="503" customFormat="1"/>
    <row r="751" s="503" customFormat="1"/>
    <row r="752" s="503" customFormat="1"/>
    <row r="753" s="503" customFormat="1"/>
    <row r="754" s="503" customFormat="1"/>
    <row r="755" s="503" customFormat="1"/>
    <row r="756" s="503" customFormat="1"/>
    <row r="757" s="503" customFormat="1"/>
    <row r="758" s="503" customFormat="1"/>
    <row r="759" s="503" customFormat="1"/>
    <row r="760" s="503" customFormat="1"/>
    <row r="761" s="503" customFormat="1"/>
    <row r="762" s="503" customFormat="1"/>
    <row r="763" s="503" customFormat="1"/>
    <row r="764" s="503" customFormat="1"/>
    <row r="765" s="503" customFormat="1"/>
    <row r="766" s="503" customFormat="1"/>
    <row r="767" s="503" customFormat="1"/>
    <row r="768" s="503" customFormat="1"/>
    <row r="769" s="503" customFormat="1"/>
    <row r="770" s="503" customFormat="1"/>
    <row r="771" s="503" customFormat="1"/>
    <row r="772" s="503" customFormat="1"/>
    <row r="773" s="503" customFormat="1"/>
    <row r="774" s="503" customFormat="1"/>
    <row r="775" s="503" customFormat="1"/>
    <row r="776" s="503" customFormat="1"/>
    <row r="777" s="503" customFormat="1"/>
    <row r="778" s="503" customFormat="1"/>
    <row r="779" s="503" customFormat="1"/>
    <row r="780" s="503" customFormat="1"/>
    <row r="781" s="503" customFormat="1"/>
    <row r="782" s="503" customFormat="1"/>
    <row r="783" s="503" customFormat="1"/>
    <row r="784" s="503" customFormat="1"/>
    <row r="785" s="503" customFormat="1"/>
    <row r="786" s="503" customFormat="1"/>
    <row r="787" s="503" customFormat="1"/>
    <row r="788" s="503" customFormat="1"/>
    <row r="789" s="503" customFormat="1"/>
    <row r="790" s="503" customFormat="1"/>
    <row r="791" s="503" customFormat="1"/>
    <row r="792" s="503" customFormat="1"/>
    <row r="793" s="503" customFormat="1"/>
    <row r="794" s="503" customFormat="1"/>
    <row r="795" s="503" customFormat="1"/>
    <row r="796" s="503" customFormat="1"/>
    <row r="797" s="503" customFormat="1"/>
    <row r="798" s="503" customFormat="1"/>
    <row r="799" s="503" customFormat="1"/>
    <row r="800" s="503" customFormat="1"/>
    <row r="801" s="503" customFormat="1"/>
    <row r="802" s="503" customFormat="1"/>
    <row r="803" s="503" customFormat="1"/>
    <row r="804" s="503" customFormat="1"/>
    <row r="805" s="503" customFormat="1"/>
    <row r="806" s="503" customFormat="1"/>
    <row r="807" s="503" customFormat="1"/>
    <row r="808" s="503" customFormat="1"/>
    <row r="809" s="503" customFormat="1"/>
    <row r="810" s="503" customFormat="1"/>
    <row r="811" s="503" customFormat="1"/>
    <row r="812" s="503" customFormat="1"/>
    <row r="813" s="503" customFormat="1"/>
    <row r="814" s="503" customFormat="1"/>
    <row r="815" s="503" customFormat="1"/>
    <row r="816" s="503" customFormat="1"/>
    <row r="817" s="503" customFormat="1"/>
    <row r="818" s="503" customFormat="1"/>
    <row r="819" s="503" customFormat="1"/>
    <row r="820" s="503" customFormat="1"/>
    <row r="821" s="503" customFormat="1"/>
    <row r="822" s="503" customFormat="1"/>
    <row r="823" s="503" customFormat="1"/>
    <row r="824" s="503" customFormat="1"/>
    <row r="825" s="503" customFormat="1"/>
    <row r="826" s="503" customFormat="1"/>
    <row r="827" s="503" customFormat="1"/>
    <row r="828" s="503" customFormat="1"/>
    <row r="829" s="503" customFormat="1"/>
    <row r="830" s="503" customFormat="1"/>
    <row r="831" s="503" customFormat="1"/>
    <row r="832" s="503" customFormat="1"/>
    <row r="833" s="503" customFormat="1"/>
    <row r="834" s="503" customFormat="1"/>
    <row r="835" s="503" customFormat="1"/>
    <row r="836" s="503" customFormat="1"/>
    <row r="837" s="503" customFormat="1"/>
    <row r="838" s="503" customFormat="1"/>
    <row r="839" s="503" customFormat="1"/>
    <row r="840" s="503" customFormat="1"/>
    <row r="841" s="503" customFormat="1"/>
    <row r="842" s="503" customFormat="1"/>
    <row r="843" s="503" customFormat="1"/>
    <row r="844" s="503" customFormat="1"/>
    <row r="845" s="503" customFormat="1"/>
    <row r="846" s="503" customFormat="1"/>
    <row r="847" s="503" customFormat="1"/>
    <row r="848" s="503" customFormat="1"/>
    <row r="849" s="503" customFormat="1"/>
    <row r="850" s="503" customFormat="1"/>
    <row r="851" s="503" customFormat="1"/>
    <row r="852" s="503" customFormat="1"/>
    <row r="853" s="503" customFormat="1"/>
    <row r="854" s="503" customFormat="1"/>
    <row r="855" s="503" customFormat="1"/>
    <row r="856" s="503" customFormat="1"/>
    <row r="857" s="503" customFormat="1"/>
    <row r="858" s="503" customFormat="1"/>
    <row r="859" s="503" customFormat="1"/>
    <row r="860" s="503" customFormat="1"/>
    <row r="861" s="503" customFormat="1"/>
    <row r="862" s="503" customFormat="1"/>
    <row r="863" s="503" customFormat="1"/>
    <row r="864" s="503" customFormat="1"/>
    <row r="865" s="503" customFormat="1"/>
    <row r="866" s="503" customFormat="1"/>
    <row r="867" s="503" customFormat="1"/>
    <row r="868" s="503" customFormat="1"/>
    <row r="869" s="503" customFormat="1"/>
    <row r="870" s="503" customFormat="1"/>
    <row r="871" s="503" customFormat="1"/>
    <row r="872" s="503" customFormat="1"/>
    <row r="873" s="503" customFormat="1"/>
    <row r="874" s="503" customFormat="1"/>
    <row r="875" s="503" customFormat="1"/>
    <row r="876" s="503" customFormat="1"/>
    <row r="877" s="503" customFormat="1"/>
    <row r="878" s="503" customFormat="1"/>
    <row r="879" s="503" customFormat="1"/>
    <row r="880" s="503" customFormat="1"/>
    <row r="881" s="503" customFormat="1"/>
    <row r="882" s="503" customFormat="1"/>
    <row r="883" s="503" customFormat="1"/>
    <row r="884" s="503" customFormat="1"/>
    <row r="885" s="503" customFormat="1"/>
    <row r="886" s="503" customFormat="1"/>
    <row r="887" s="503" customFormat="1"/>
    <row r="888" s="503" customFormat="1"/>
    <row r="889" s="503" customFormat="1"/>
    <row r="890" s="503" customFormat="1"/>
    <row r="891" s="503" customFormat="1"/>
    <row r="892" s="503" customFormat="1"/>
    <row r="893" s="503" customFormat="1"/>
    <row r="894" s="503" customFormat="1"/>
    <row r="895" s="503" customFormat="1"/>
    <row r="896" s="503" customFormat="1"/>
    <row r="897" s="503" customFormat="1"/>
    <row r="898" s="503" customFormat="1"/>
    <row r="899" s="503" customFormat="1"/>
    <row r="900" s="503" customFormat="1"/>
    <row r="901" s="503" customFormat="1"/>
    <row r="902" s="503" customFormat="1"/>
    <row r="903" s="503" customFormat="1"/>
    <row r="904" s="503" customFormat="1"/>
    <row r="905" s="503" customFormat="1"/>
    <row r="906" s="503" customFormat="1"/>
    <row r="907" s="503" customFormat="1"/>
    <row r="908" s="503" customFormat="1"/>
    <row r="909" s="503" customFormat="1"/>
    <row r="910" s="503" customFormat="1"/>
    <row r="911" s="503" customFormat="1"/>
    <row r="912" s="503" customFormat="1"/>
    <row r="913" s="503" customFormat="1"/>
    <row r="914" s="503" customFormat="1"/>
    <row r="915" s="503" customFormat="1"/>
    <row r="916" s="503" customFormat="1"/>
    <row r="917" s="503" customFormat="1"/>
    <row r="918" s="503" customFormat="1"/>
    <row r="919" s="503" customFormat="1"/>
    <row r="920" s="503" customFormat="1"/>
    <row r="921" s="503" customFormat="1"/>
    <row r="922" s="503" customFormat="1"/>
    <row r="923" s="503" customFormat="1"/>
    <row r="924" s="503" customFormat="1"/>
    <row r="925" s="503" customFormat="1"/>
    <row r="926" s="503" customFormat="1"/>
    <row r="927" s="503" customFormat="1"/>
    <row r="928" s="503" customFormat="1"/>
    <row r="929" s="503" customFormat="1"/>
    <row r="930" s="503" customFormat="1"/>
    <row r="931" s="503" customFormat="1"/>
    <row r="932" s="503" customFormat="1"/>
    <row r="933" s="503" customFormat="1"/>
    <row r="934" s="503" customFormat="1"/>
    <row r="935" s="503" customFormat="1"/>
    <row r="936" s="503" customFormat="1"/>
    <row r="937" s="503" customFormat="1"/>
    <row r="938" s="503" customFormat="1"/>
    <row r="939" s="503" customFormat="1"/>
    <row r="940" s="503" customFormat="1"/>
    <row r="941" s="503" customFormat="1"/>
    <row r="942" s="503" customFormat="1"/>
    <row r="943" s="503" customFormat="1"/>
    <row r="944" s="503" customFormat="1"/>
    <row r="945" s="503" customFormat="1"/>
    <row r="946" s="503" customFormat="1"/>
    <row r="947" s="503" customFormat="1"/>
    <row r="948" s="503" customFormat="1"/>
    <row r="949" s="503" customFormat="1"/>
    <row r="950" s="503" customFormat="1"/>
    <row r="951" s="503" customFormat="1"/>
    <row r="952" s="503" customFormat="1"/>
    <row r="953" s="503" customFormat="1"/>
    <row r="954" s="503" customFormat="1"/>
    <row r="955" s="503" customFormat="1"/>
    <row r="956" s="503" customFormat="1"/>
    <row r="957" s="503" customFormat="1"/>
    <row r="958" s="503" customFormat="1"/>
    <row r="959" s="503" customFormat="1"/>
    <row r="960" s="503" customFormat="1"/>
    <row r="961" s="503" customFormat="1"/>
    <row r="962" s="503" customFormat="1"/>
    <row r="963" s="503" customFormat="1"/>
    <row r="964" s="503" customFormat="1"/>
    <row r="965" s="503" customFormat="1"/>
    <row r="966" s="503" customFormat="1"/>
    <row r="967" s="503" customFormat="1"/>
    <row r="968" s="503" customFormat="1"/>
    <row r="969" s="503" customFormat="1"/>
    <row r="970" s="503" customFormat="1"/>
    <row r="971" s="503" customFormat="1"/>
    <row r="972" s="503" customFormat="1"/>
    <row r="973" s="503" customFormat="1"/>
    <row r="974" s="503" customFormat="1"/>
    <row r="975" s="503" customFormat="1"/>
    <row r="976" s="503" customFormat="1"/>
    <row r="977" s="503" customFormat="1"/>
    <row r="978" s="503" customFormat="1"/>
    <row r="979" s="503" customFormat="1"/>
    <row r="980" s="503" customFormat="1"/>
    <row r="981" s="503" customFormat="1"/>
    <row r="982" s="503" customFormat="1"/>
    <row r="983" s="503" customFormat="1"/>
    <row r="984" s="503" customFormat="1"/>
    <row r="985" s="503" customFormat="1"/>
    <row r="986" s="503" customFormat="1"/>
    <row r="987" s="503" customFormat="1"/>
    <row r="988" s="503" customFormat="1"/>
    <row r="989" s="503" customFormat="1"/>
    <row r="990" s="503" customFormat="1"/>
    <row r="991" s="503" customFormat="1"/>
    <row r="992" s="503" customFormat="1"/>
    <row r="993" s="503" customFormat="1"/>
    <row r="994" s="503" customFormat="1"/>
    <row r="995" s="503" customFormat="1"/>
    <row r="996" s="503" customFormat="1"/>
    <row r="997" s="503" customFormat="1"/>
    <row r="998" s="503" customFormat="1"/>
    <row r="999" s="503" customFormat="1"/>
    <row r="1000" s="503" customFormat="1"/>
    <row r="1001" s="503" customFormat="1"/>
    <row r="1002" s="503" customFormat="1"/>
    <row r="1003" s="503" customFormat="1"/>
    <row r="1004" s="503" customFormat="1"/>
    <row r="1005" s="503" customFormat="1"/>
    <row r="1006" s="503" customFormat="1"/>
    <row r="1007" s="503" customFormat="1"/>
    <row r="1008" s="503" customFormat="1"/>
    <row r="1009" s="503" customFormat="1"/>
    <row r="1010" s="503" customFormat="1"/>
    <row r="1011" s="503" customFormat="1"/>
    <row r="1012" s="503" customFormat="1"/>
    <row r="1013" s="503" customFormat="1"/>
    <row r="1014" s="503" customFormat="1"/>
    <row r="1015" s="503" customFormat="1"/>
    <row r="1016" s="503" customFormat="1"/>
    <row r="1017" s="503" customFormat="1"/>
    <row r="1018" s="503" customFormat="1"/>
    <row r="1019" s="503" customFormat="1"/>
    <row r="1020" s="503" customFormat="1"/>
    <row r="1021" s="503" customFormat="1"/>
    <row r="1022" s="503" customFormat="1"/>
    <row r="1023" s="503" customFormat="1"/>
    <row r="1024" s="503" customFormat="1"/>
    <row r="1025" s="503" customFormat="1"/>
    <row r="1026" s="503" customFormat="1"/>
    <row r="1027" s="503" customFormat="1"/>
    <row r="1028" s="503" customFormat="1"/>
    <row r="1029" s="503" customFormat="1"/>
    <row r="1030" s="503" customFormat="1"/>
    <row r="1031" s="503" customFormat="1"/>
    <row r="1032" s="503" customFormat="1"/>
    <row r="1033" s="503" customFormat="1"/>
    <row r="1034" s="503" customFormat="1"/>
    <row r="1035" s="503" customFormat="1"/>
    <row r="1036" s="503" customFormat="1"/>
    <row r="1037" s="503" customFormat="1"/>
    <row r="1038" s="503" customFormat="1"/>
    <row r="1039" s="503" customFormat="1"/>
    <row r="1040" s="503" customFormat="1"/>
    <row r="1041" s="503" customFormat="1"/>
    <row r="1042" s="503" customFormat="1"/>
    <row r="1043" s="503" customFormat="1"/>
    <row r="1044" s="503" customFormat="1"/>
    <row r="1045" s="503" customFormat="1"/>
    <row r="1046" s="503" customFormat="1"/>
    <row r="1047" s="503" customFormat="1"/>
    <row r="1048" s="503" customFormat="1"/>
    <row r="1049" s="503" customFormat="1"/>
    <row r="1050" s="503" customFormat="1"/>
    <row r="1051" s="503" customFormat="1"/>
    <row r="1052" s="503" customFormat="1"/>
    <row r="1053" s="503" customFormat="1"/>
    <row r="1054" s="503" customFormat="1"/>
    <row r="1055" s="503" customFormat="1"/>
    <row r="1056" s="503" customFormat="1"/>
    <row r="1057" s="503" customFormat="1"/>
    <row r="1058" s="503" customFormat="1"/>
    <row r="1059" s="503" customFormat="1"/>
    <row r="1060" s="503" customFormat="1"/>
    <row r="1061" s="503" customFormat="1"/>
    <row r="1062" s="503" customFormat="1"/>
    <row r="1063" s="503" customFormat="1"/>
    <row r="1064" s="503" customFormat="1"/>
    <row r="1065" s="503" customFormat="1"/>
    <row r="1066" s="503" customFormat="1"/>
    <row r="1067" s="503" customFormat="1"/>
    <row r="1068" s="503" customFormat="1"/>
    <row r="1069" s="503" customFormat="1"/>
    <row r="1070" s="503" customFormat="1"/>
    <row r="1071" s="503" customFormat="1"/>
    <row r="1072" s="503" customFormat="1"/>
    <row r="1073" s="503" customFormat="1"/>
    <row r="1074" s="503" customFormat="1"/>
    <row r="1075" s="503" customFormat="1"/>
    <row r="1076" s="503" customFormat="1"/>
    <row r="1077" s="503" customFormat="1"/>
    <row r="1078" s="503" customFormat="1"/>
    <row r="1079" s="503" customFormat="1"/>
    <row r="1080" s="503" customFormat="1"/>
    <row r="1081" s="503" customFormat="1"/>
    <row r="1082" s="503" customFormat="1"/>
    <row r="1083" s="503" customFormat="1"/>
    <row r="1084" s="503" customFormat="1"/>
    <row r="1085" s="503" customFormat="1"/>
    <row r="1086" s="503" customFormat="1"/>
    <row r="1087" s="503" customFormat="1"/>
    <row r="1088" s="503" customFormat="1"/>
    <row r="1089" s="503" customFormat="1"/>
    <row r="1090" s="503" customFormat="1"/>
    <row r="1091" s="503" customFormat="1"/>
    <row r="1092" s="503" customFormat="1"/>
    <row r="1093" s="503" customFormat="1"/>
    <row r="1094" s="503" customFormat="1"/>
    <row r="1095" s="503" customFormat="1"/>
    <row r="1096" s="503" customFormat="1"/>
    <row r="1097" s="503" customFormat="1"/>
    <row r="1098" s="503" customFormat="1"/>
    <row r="1099" s="503" customFormat="1"/>
    <row r="1100" s="503" customFormat="1"/>
    <row r="1101" s="503" customFormat="1"/>
    <row r="1102" s="503" customFormat="1"/>
    <row r="1103" s="503" customFormat="1"/>
    <row r="1104" s="503" customFormat="1"/>
    <row r="1105" s="503" customFormat="1"/>
    <row r="1106" s="503" customFormat="1"/>
    <row r="1107" s="503" customFormat="1"/>
    <row r="1108" s="503" customFormat="1"/>
    <row r="1109" s="503" customFormat="1"/>
    <row r="1110" s="503" customFormat="1"/>
    <row r="1111" s="503" customFormat="1"/>
    <row r="1112" s="503" customFormat="1"/>
    <row r="1113" s="503" customFormat="1"/>
    <row r="1114" s="503" customFormat="1"/>
    <row r="1115" s="503" customFormat="1"/>
    <row r="1116" s="503" customFormat="1"/>
    <row r="1117" s="503" customFormat="1"/>
    <row r="1118" s="503" customFormat="1"/>
    <row r="1119" s="503" customFormat="1"/>
    <row r="1120" s="503" customFormat="1"/>
    <row r="1121" s="503" customFormat="1"/>
    <row r="1122" s="503" customFormat="1"/>
    <row r="1123" s="503" customFormat="1"/>
    <row r="1124" s="503" customFormat="1"/>
    <row r="1125" s="503" customFormat="1"/>
    <row r="1126" s="503" customFormat="1"/>
    <row r="1127" s="503" customFormat="1"/>
    <row r="1128" s="503" customFormat="1"/>
    <row r="1129" s="503" customFormat="1"/>
    <row r="1130" s="503" customFormat="1"/>
    <row r="1131" s="503" customFormat="1"/>
    <row r="1132" s="503" customFormat="1"/>
    <row r="1133" s="503" customFormat="1"/>
    <row r="1134" s="503" customFormat="1"/>
    <row r="1135" s="503" customFormat="1"/>
    <row r="1136" s="503" customFormat="1"/>
    <row r="1137" s="503" customFormat="1"/>
    <row r="1138" s="503" customFormat="1"/>
    <row r="1139" s="503" customFormat="1"/>
    <row r="1140" s="503" customFormat="1"/>
    <row r="1141" s="503" customFormat="1"/>
    <row r="1142" s="503" customFormat="1"/>
    <row r="1143" s="503" customFormat="1"/>
    <row r="1144" s="503" customFormat="1"/>
    <row r="1145" s="503" customFormat="1"/>
    <row r="1146" s="503" customFormat="1"/>
    <row r="1147" s="503" customFormat="1"/>
    <row r="1148" s="503" customFormat="1"/>
    <row r="1149" s="503" customFormat="1"/>
    <row r="1150" s="503" customFormat="1"/>
    <row r="1151" s="503" customFormat="1"/>
    <row r="1152" s="503" customFormat="1"/>
    <row r="1153" s="503" customFormat="1"/>
    <row r="1154" s="503" customFormat="1"/>
    <row r="1155" s="503" customFormat="1"/>
    <row r="1156" s="503" customFormat="1"/>
    <row r="1157" s="503" customFormat="1"/>
    <row r="1158" s="503" customFormat="1"/>
    <row r="1159" s="503" customFormat="1"/>
    <row r="1160" s="503" customFormat="1"/>
    <row r="1161" s="503" customFormat="1"/>
    <row r="1162" s="503" customFormat="1"/>
    <row r="1163" s="503" customFormat="1"/>
    <row r="1164" s="503" customFormat="1"/>
    <row r="1165" s="503" customFormat="1"/>
    <row r="1166" s="503" customFormat="1"/>
    <row r="1167" s="503" customFormat="1"/>
    <row r="1168" s="503" customFormat="1"/>
    <row r="1169" s="503" customFormat="1"/>
    <row r="1170" s="503" customFormat="1"/>
    <row r="1171" s="503" customFormat="1"/>
    <row r="1172" s="503" customFormat="1"/>
    <row r="1173" s="503" customFormat="1"/>
    <row r="1174" s="503" customFormat="1"/>
    <row r="1175" s="503" customFormat="1"/>
    <row r="1176" s="503" customFormat="1"/>
    <row r="1177" s="503" customFormat="1"/>
    <row r="1178" s="503" customFormat="1"/>
    <row r="1179" s="503" customFormat="1"/>
    <row r="1180" s="503" customFormat="1"/>
    <row r="1181" s="503" customFormat="1"/>
    <row r="1182" s="503" customFormat="1"/>
    <row r="1183" s="503" customFormat="1"/>
    <row r="1184" s="503" customFormat="1"/>
    <row r="1185" s="503" customFormat="1"/>
    <row r="1186" s="503" customFormat="1"/>
    <row r="1187" s="503" customFormat="1"/>
    <row r="1188" s="503" customFormat="1"/>
    <row r="1189" s="503" customFormat="1"/>
    <row r="1190" s="503" customFormat="1"/>
    <row r="1191" s="503" customFormat="1"/>
    <row r="1192" s="503" customFormat="1"/>
    <row r="1193" s="503" customFormat="1"/>
    <row r="1194" s="503" customFormat="1"/>
    <row r="1195" s="503" customFormat="1"/>
    <row r="1196" s="503" customFormat="1"/>
    <row r="1197" s="503" customFormat="1"/>
    <row r="1198" s="503" customFormat="1"/>
    <row r="1199" s="503" customFormat="1"/>
    <row r="1200" s="503" customFormat="1"/>
    <row r="1201" s="503" customFormat="1"/>
    <row r="1202" s="503" customFormat="1"/>
    <row r="1203" s="503" customFormat="1"/>
    <row r="1204" s="503" customFormat="1"/>
    <row r="1205" s="503" customFormat="1"/>
    <row r="1206" s="503" customFormat="1"/>
    <row r="1207" s="503" customFormat="1"/>
    <row r="1208" s="503" customFormat="1"/>
    <row r="1209" s="503" customFormat="1"/>
    <row r="1210" s="503" customFormat="1"/>
    <row r="1211" s="503" customFormat="1"/>
    <row r="1212" s="503" customFormat="1"/>
    <row r="1213" s="503" customFormat="1"/>
    <row r="1214" s="503" customFormat="1"/>
    <row r="1215" s="503" customFormat="1"/>
    <row r="1216" s="503" customFormat="1"/>
    <row r="1217" s="503" customFormat="1"/>
    <row r="1218" s="503" customFormat="1"/>
    <row r="1219" s="503" customFormat="1"/>
    <row r="1220" s="503" customFormat="1"/>
    <row r="1221" s="503" customFormat="1"/>
    <row r="1222" s="503" customFormat="1"/>
    <row r="1223" s="503" customFormat="1"/>
    <row r="1224" s="503" customFormat="1"/>
    <row r="1225" s="503" customFormat="1"/>
    <row r="1226" s="503" customFormat="1"/>
    <row r="1227" s="503" customFormat="1"/>
    <row r="1228" s="503" customFormat="1"/>
    <row r="1229" s="503" customFormat="1"/>
    <row r="1230" s="503" customFormat="1"/>
    <row r="1231" s="503" customFormat="1"/>
    <row r="1232" s="503" customFormat="1"/>
    <row r="1233" s="503" customFormat="1"/>
    <row r="1234" s="503" customFormat="1"/>
    <row r="1235" s="503" customFormat="1"/>
    <row r="1236" s="503" customFormat="1"/>
    <row r="1237" s="503" customFormat="1"/>
    <row r="1238" s="503" customFormat="1"/>
    <row r="1239" s="503" customFormat="1"/>
    <row r="1240" s="503" customFormat="1"/>
    <row r="1241" s="503" customFormat="1"/>
    <row r="1242" s="503" customFormat="1"/>
    <row r="1243" s="503" customFormat="1"/>
    <row r="1244" s="503" customFormat="1"/>
    <row r="1245" s="503" customFormat="1"/>
    <row r="1246" s="503" customFormat="1"/>
    <row r="1247" s="503" customFormat="1"/>
    <row r="1248" s="503" customFormat="1"/>
    <row r="1249" s="503" customFormat="1"/>
    <row r="1250" s="503" customFormat="1"/>
    <row r="1251" s="503" customFormat="1"/>
    <row r="1252" s="503" customFormat="1"/>
    <row r="1253" s="503" customFormat="1"/>
    <row r="1254" s="503" customFormat="1"/>
    <row r="1255" s="503" customFormat="1"/>
    <row r="1256" s="503" customFormat="1"/>
    <row r="1257" s="503" customFormat="1"/>
    <row r="1258" s="503" customFormat="1"/>
    <row r="1259" s="503" customFormat="1"/>
    <row r="1260" s="503" customFormat="1"/>
    <row r="1261" s="503" customFormat="1"/>
    <row r="1262" s="503" customFormat="1"/>
    <row r="1263" s="503" customFormat="1"/>
    <row r="1264" s="503" customFormat="1"/>
    <row r="1265" s="503" customFormat="1"/>
    <row r="1266" s="503" customFormat="1"/>
    <row r="1267" s="503" customFormat="1"/>
    <row r="1268" s="503" customFormat="1"/>
    <row r="1269" s="503" customFormat="1"/>
    <row r="1270" s="503" customFormat="1"/>
    <row r="1271" s="503" customFormat="1"/>
    <row r="1272" s="503" customFormat="1"/>
    <row r="1273" s="503" customFormat="1"/>
    <row r="1274" s="503" customFormat="1"/>
    <row r="1275" s="503" customFormat="1"/>
    <row r="1276" s="503" customFormat="1"/>
    <row r="1277" s="503" customFormat="1"/>
    <row r="1278" s="503" customFormat="1"/>
    <row r="1279" s="503" customFormat="1"/>
    <row r="1280" s="503" customFormat="1"/>
    <row r="1281" s="503" customFormat="1"/>
    <row r="1282" s="503" customFormat="1"/>
    <row r="1283" s="503" customFormat="1"/>
    <row r="1284" s="503" customFormat="1"/>
    <row r="1285" s="503" customFormat="1"/>
    <row r="1286" s="503" customFormat="1"/>
    <row r="1287" s="503" customFormat="1"/>
    <row r="1288" s="503" customFormat="1"/>
    <row r="1289" s="503" customFormat="1"/>
    <row r="1290" s="503" customFormat="1"/>
    <row r="1291" s="503" customFormat="1"/>
    <row r="1292" s="503" customFormat="1"/>
    <row r="1293" s="503" customFormat="1"/>
    <row r="1294" s="503" customFormat="1"/>
    <row r="1295" s="503" customFormat="1"/>
    <row r="1296" s="503" customFormat="1"/>
    <row r="1297" s="503" customFormat="1"/>
    <row r="1298" s="503" customFormat="1"/>
    <row r="1299" s="503" customFormat="1"/>
    <row r="1300" s="503" customFormat="1"/>
    <row r="1301" s="503" customFormat="1"/>
    <row r="1302" s="503" customFormat="1"/>
    <row r="1303" s="503" customFormat="1"/>
    <row r="1304" s="503" customFormat="1"/>
    <row r="1305" s="503" customFormat="1"/>
    <row r="1306" s="503" customFormat="1"/>
    <row r="1307" s="503" customFormat="1"/>
    <row r="1308" s="503" customFormat="1"/>
    <row r="1309" s="503" customFormat="1"/>
    <row r="1310" s="503" customFormat="1"/>
    <row r="1311" s="503" customFormat="1"/>
    <row r="1312" s="503" customFormat="1"/>
    <row r="1313" s="503" customFormat="1"/>
    <row r="1314" s="503" customFormat="1"/>
    <row r="1315" s="503" customFormat="1"/>
    <row r="1316" s="503" customFormat="1"/>
    <row r="1317" s="503" customFormat="1"/>
    <row r="1318" s="503" customFormat="1"/>
    <row r="1319" s="503" customFormat="1"/>
    <row r="1320" s="503" customFormat="1"/>
    <row r="1321" s="503" customFormat="1"/>
    <row r="1322" s="503" customFormat="1"/>
    <row r="1323" s="503" customFormat="1"/>
    <row r="1324" s="503" customFormat="1"/>
    <row r="1325" s="503" customFormat="1"/>
    <row r="1326" s="503" customFormat="1"/>
    <row r="1327" s="503" customFormat="1"/>
    <row r="1328" s="503" customFormat="1"/>
    <row r="1329" s="503" customFormat="1"/>
    <row r="1330" s="503" customFormat="1"/>
    <row r="1331" s="503" customFormat="1"/>
    <row r="1332" s="503" customFormat="1"/>
    <row r="1333" s="503" customFormat="1"/>
    <row r="1334" s="503" customFormat="1"/>
    <row r="1335" s="503" customFormat="1"/>
    <row r="1336" s="503" customFormat="1"/>
    <row r="1337" s="503" customFormat="1"/>
    <row r="1338" s="503" customFormat="1"/>
    <row r="1339" s="503" customFormat="1"/>
    <row r="1340" s="503" customFormat="1"/>
    <row r="1341" s="503" customFormat="1"/>
    <row r="1342" s="503" customFormat="1"/>
    <row r="1343" s="503" customFormat="1"/>
    <row r="1344" s="503" customFormat="1"/>
    <row r="1345" s="503" customFormat="1"/>
    <row r="1346" s="503" customFormat="1"/>
    <row r="1347" s="503" customFormat="1"/>
    <row r="1348" s="503" customFormat="1"/>
    <row r="1349" s="503" customFormat="1"/>
    <row r="1350" s="503" customFormat="1"/>
    <row r="1351" s="503" customFormat="1"/>
    <row r="1352" s="503" customFormat="1"/>
    <row r="1353" s="503" customFormat="1"/>
    <row r="1354" s="503" customFormat="1"/>
    <row r="1355" s="503" customFormat="1"/>
    <row r="1356" s="503" customFormat="1"/>
    <row r="1357" s="503" customFormat="1"/>
    <row r="1358" s="503" customFormat="1"/>
    <row r="1359" s="503" customFormat="1"/>
    <row r="1360" s="503" customFormat="1"/>
    <row r="1361" s="503" customFormat="1"/>
    <row r="1362" s="503" customFormat="1"/>
    <row r="1363" s="503" customFormat="1"/>
    <row r="1364" s="503" customFormat="1"/>
    <row r="1365" s="503" customFormat="1"/>
    <row r="1366" s="503" customFormat="1"/>
    <row r="1367" s="503" customFormat="1"/>
    <row r="1368" s="503" customFormat="1"/>
    <row r="1369" s="503" customFormat="1"/>
    <row r="1370" s="503" customFormat="1"/>
    <row r="1371" s="503" customFormat="1"/>
    <row r="1372" s="503" customFormat="1"/>
    <row r="1373" s="503" customFormat="1"/>
    <row r="1374" s="503" customFormat="1"/>
    <row r="1375" s="503" customFormat="1"/>
    <row r="1376" s="503" customFormat="1"/>
    <row r="1377" s="503" customFormat="1"/>
    <row r="1378" s="503" customFormat="1"/>
    <row r="1379" s="503" customFormat="1"/>
    <row r="1380" s="503" customFormat="1"/>
    <row r="1381" s="503" customFormat="1"/>
    <row r="1382" s="503" customFormat="1"/>
    <row r="1383" s="503" customFormat="1"/>
    <row r="1384" s="503" customFormat="1"/>
    <row r="1385" s="503" customFormat="1"/>
    <row r="1386" s="503" customFormat="1"/>
    <row r="1387" s="503" customFormat="1"/>
    <row r="1388" s="503" customFormat="1"/>
    <row r="1389" s="503" customFormat="1"/>
    <row r="1390" s="503" customFormat="1"/>
    <row r="1391" s="503" customFormat="1"/>
    <row r="1392" s="503" customFormat="1"/>
    <row r="1393" s="503" customFormat="1"/>
    <row r="1394" s="503" customFormat="1"/>
    <row r="1395" s="503" customFormat="1"/>
    <row r="1396" s="503" customFormat="1"/>
    <row r="1397" s="503" customFormat="1"/>
    <row r="1398" s="503" customFormat="1"/>
    <row r="1399" s="503" customFormat="1"/>
    <row r="1400" s="503" customFormat="1"/>
    <row r="1401" s="503" customFormat="1"/>
    <row r="1402" s="503" customFormat="1"/>
    <row r="1403" s="503" customFormat="1"/>
    <row r="1404" s="503" customFormat="1"/>
    <row r="1405" s="503" customFormat="1"/>
    <row r="1406" s="503" customFormat="1"/>
    <row r="1407" s="503" customFormat="1"/>
    <row r="1408" s="503" customFormat="1"/>
    <row r="1409" s="503" customFormat="1"/>
    <row r="1410" s="503" customFormat="1"/>
    <row r="1411" s="503" customFormat="1"/>
    <row r="1412" s="503" customFormat="1"/>
    <row r="1413" s="503" customFormat="1"/>
    <row r="1414" s="503" customFormat="1"/>
    <row r="1415" s="503" customFormat="1"/>
    <row r="1416" s="503" customFormat="1"/>
    <row r="1417" s="503" customFormat="1"/>
    <row r="1418" s="503" customFormat="1"/>
    <row r="1419" s="503" customFormat="1"/>
    <row r="1420" s="503" customFormat="1"/>
    <row r="1421" s="503" customFormat="1"/>
    <row r="1422" s="503" customFormat="1"/>
    <row r="1423" s="503" customFormat="1"/>
    <row r="1424" s="503" customFormat="1"/>
    <row r="1425" s="503" customFormat="1"/>
    <row r="1426" s="503" customFormat="1"/>
    <row r="1427" s="503" customFormat="1"/>
    <row r="1428" s="503" customFormat="1"/>
    <row r="1429" s="503" customFormat="1"/>
    <row r="1430" s="503" customFormat="1"/>
    <row r="1431" s="503" customFormat="1"/>
    <row r="1432" s="503" customFormat="1"/>
    <row r="1433" s="503" customFormat="1"/>
    <row r="1434" s="503" customFormat="1"/>
    <row r="1435" s="503" customFormat="1"/>
    <row r="1436" s="503" customFormat="1"/>
    <row r="1437" s="503" customFormat="1"/>
    <row r="1438" s="503" customFormat="1"/>
    <row r="1439" s="503" customFormat="1"/>
    <row r="1440" s="503" customFormat="1"/>
    <row r="1441" s="503" customFormat="1"/>
    <row r="1442" s="503" customFormat="1"/>
    <row r="1443" s="503" customFormat="1"/>
    <row r="1444" s="503" customFormat="1"/>
    <row r="1445" s="503" customFormat="1"/>
    <row r="1446" s="503" customFormat="1"/>
    <row r="1447" s="503" customFormat="1"/>
    <row r="1448" s="503" customFormat="1"/>
    <row r="1449" s="503" customFormat="1"/>
    <row r="1450" s="503" customFormat="1"/>
    <row r="1451" s="503" customFormat="1"/>
    <row r="1452" s="503" customFormat="1"/>
    <row r="1453" s="503" customFormat="1"/>
    <row r="1454" s="503" customFormat="1"/>
    <row r="1455" s="503" customFormat="1"/>
    <row r="1456" s="503" customFormat="1"/>
    <row r="1457" s="503" customFormat="1"/>
    <row r="1458" s="503" customFormat="1"/>
    <row r="1459" s="503" customFormat="1"/>
    <row r="1460" s="503" customFormat="1"/>
    <row r="1461" s="503" customFormat="1"/>
    <row r="1462" s="503" customFormat="1"/>
    <row r="1463" s="503" customFormat="1"/>
    <row r="1464" s="503" customFormat="1"/>
    <row r="1465" s="503" customFormat="1"/>
    <row r="1466" s="503" customFormat="1"/>
    <row r="1467" s="503" customFormat="1"/>
    <row r="1468" s="503" customFormat="1"/>
    <row r="1469" s="503" customFormat="1"/>
    <row r="1470" s="503" customFormat="1"/>
    <row r="1471" s="503" customFormat="1"/>
    <row r="1472" s="503" customFormat="1"/>
    <row r="1473" s="503" customFormat="1"/>
    <row r="1474" s="503" customFormat="1"/>
    <row r="1475" s="503" customFormat="1"/>
    <row r="1476" s="503" customFormat="1"/>
    <row r="1477" s="503" customFormat="1"/>
    <row r="1478" s="503" customFormat="1"/>
    <row r="1479" s="503" customFormat="1"/>
    <row r="1480" s="503" customFormat="1"/>
    <row r="1481" s="503" customFormat="1"/>
    <row r="1482" s="503" customFormat="1"/>
    <row r="1483" s="503" customFormat="1"/>
    <row r="1484" s="503" customFormat="1"/>
    <row r="1485" s="503" customFormat="1"/>
    <row r="1486" s="503" customFormat="1"/>
    <row r="1487" s="503" customFormat="1"/>
    <row r="1488" s="503" customFormat="1"/>
    <row r="1489" s="503" customFormat="1"/>
    <row r="1490" s="503" customFormat="1"/>
    <row r="1491" s="503" customFormat="1"/>
    <row r="1492" s="503" customFormat="1"/>
    <row r="1493" s="503" customFormat="1"/>
    <row r="1494" s="503" customFormat="1"/>
    <row r="1495" s="503" customFormat="1"/>
    <row r="1496" s="503" customFormat="1"/>
    <row r="1497" s="503" customFormat="1"/>
    <row r="1498" s="503" customFormat="1"/>
    <row r="1499" s="503" customFormat="1"/>
    <row r="1500" s="503" customFormat="1"/>
    <row r="1501" s="503" customFormat="1"/>
    <row r="1502" s="503" customFormat="1"/>
    <row r="1503" s="503" customFormat="1"/>
    <row r="1504" s="503" customFormat="1"/>
    <row r="1505" s="503" customFormat="1"/>
    <row r="1506" s="503" customFormat="1"/>
    <row r="1507" s="503" customFormat="1"/>
    <row r="1508" s="503" customFormat="1"/>
    <row r="1509" s="503" customFormat="1"/>
    <row r="1510" s="503" customFormat="1"/>
    <row r="1511" s="503" customFormat="1"/>
    <row r="1512" s="503" customFormat="1"/>
    <row r="1513" s="503" customFormat="1"/>
    <row r="1514" s="503" customFormat="1"/>
    <row r="1515" s="503" customFormat="1"/>
    <row r="1516" s="503" customFormat="1"/>
    <row r="1517" s="503" customFormat="1"/>
    <row r="1518" s="503" customFormat="1"/>
    <row r="1519" s="503" customFormat="1"/>
    <row r="1520" s="503" customFormat="1"/>
    <row r="1521" spans="27:27" s="503" customFormat="1"/>
    <row r="1522" spans="27:27" s="503" customFormat="1"/>
    <row r="1523" spans="27:27" s="503" customFormat="1">
      <c r="AA1523" s="654"/>
    </row>
    <row r="1524" spans="27:27" s="503" customFormat="1">
      <c r="AA1524" s="654"/>
    </row>
    <row r="1525" spans="27:27" s="503" customFormat="1">
      <c r="AA1525" s="654"/>
    </row>
    <row r="1526" spans="27:27" s="503" customFormat="1">
      <c r="AA1526" s="654"/>
    </row>
    <row r="1527" spans="27:27" s="503" customFormat="1">
      <c r="AA1527" s="654"/>
    </row>
    <row r="1528" spans="27:27" s="503" customFormat="1">
      <c r="AA1528" s="654"/>
    </row>
    <row r="1529" spans="27:27" s="503" customFormat="1">
      <c r="AA1529" s="654"/>
    </row>
    <row r="1530" spans="27:27" s="503" customFormat="1">
      <c r="AA1530" s="654"/>
    </row>
  </sheetData>
  <sheetProtection password="FBCA" sheet="1" objects="1" scenarios="1" selectLockedCells="1"/>
  <mergeCells count="21">
    <mergeCell ref="H12:J12"/>
    <mergeCell ref="P48:P49"/>
    <mergeCell ref="S51:U52"/>
    <mergeCell ref="H13:J13"/>
    <mergeCell ref="H15:J15"/>
    <mergeCell ref="S33:U34"/>
    <mergeCell ref="S29:U31"/>
    <mergeCell ref="Q6:R6"/>
    <mergeCell ref="R39:U40"/>
    <mergeCell ref="O12:Q12"/>
    <mergeCell ref="R43:U44"/>
    <mergeCell ref="P28:P29"/>
    <mergeCell ref="S13:W16"/>
    <mergeCell ref="S53:U54"/>
    <mergeCell ref="A87:A91"/>
    <mergeCell ref="B87:B91"/>
    <mergeCell ref="F61:T61"/>
    <mergeCell ref="F57:T57"/>
    <mergeCell ref="C87:C91"/>
    <mergeCell ref="G76:I77"/>
    <mergeCell ref="K76:M77"/>
  </mergeCells>
  <conditionalFormatting sqref="F29:O34 P28:P34 Q34:R34 Q33:S33 Q30:R32 Q29:S29">
    <cfRule type="expression" dxfId="64" priority="238">
      <formula>$T$26="No"</formula>
    </cfRule>
  </conditionalFormatting>
  <conditionalFormatting sqref="F24:Q26">
    <cfRule type="expression" dxfId="63" priority="241">
      <formula>$T$26="Yes"</formula>
    </cfRule>
  </conditionalFormatting>
  <conditionalFormatting sqref="L15:M15">
    <cfRule type="expression" dxfId="62" priority="63">
      <formula>$H$15="No"</formula>
    </cfRule>
  </conditionalFormatting>
  <conditionalFormatting sqref="L17:R17 R18 N18">
    <cfRule type="expression" dxfId="61" priority="34">
      <formula>$J$17="No"</formula>
    </cfRule>
  </conditionalFormatting>
  <conditionalFormatting sqref="F9:T9 F22:T22 F61 F36:T36">
    <cfRule type="expression" dxfId="60" priority="95" stopIfTrue="1">
      <formula>#REF!=3</formula>
    </cfRule>
    <cfRule type="expression" dxfId="59" priority="99" stopIfTrue="1">
      <formula>#REF!=5</formula>
    </cfRule>
    <cfRule type="expression" dxfId="58" priority="100" stopIfTrue="1">
      <formula>#REF!=4</formula>
    </cfRule>
  </conditionalFormatting>
  <conditionalFormatting sqref="F57">
    <cfRule type="expression" dxfId="57" priority="45" stopIfTrue="1">
      <formula>#REF!=3</formula>
    </cfRule>
    <cfRule type="expression" dxfId="56" priority="46" stopIfTrue="1">
      <formula>#REF!=5</formula>
    </cfRule>
    <cfRule type="expression" dxfId="55" priority="47" stopIfTrue="1">
      <formula>#REF!=4</formula>
    </cfRule>
  </conditionalFormatting>
  <conditionalFormatting sqref="L12 N12:R12 S13">
    <cfRule type="expression" dxfId="54" priority="13">
      <formula>AND($H$13="No",$H$15="No")</formula>
    </cfRule>
  </conditionalFormatting>
  <conditionalFormatting sqref="N15:R15">
    <cfRule type="expression" dxfId="53" priority="5">
      <formula>$H$15="No"</formula>
    </cfRule>
    <cfRule type="expression" dxfId="52" priority="12">
      <formula>$L$15="Deemed"</formula>
    </cfRule>
  </conditionalFormatting>
  <conditionalFormatting sqref="L13:R13">
    <cfRule type="expression" dxfId="51" priority="9" stopIfTrue="1">
      <formula>$H$13="No"</formula>
    </cfRule>
  </conditionalFormatting>
  <conditionalFormatting sqref="N13:R13">
    <cfRule type="expression" dxfId="50" priority="10">
      <formula>$L$13="Deemed"</formula>
    </cfRule>
  </conditionalFormatting>
  <dataValidations count="18">
    <dataValidation type="list" allowBlank="1" showInputMessage="1" showErrorMessage="1" sqref="L20">
      <formula1>"Lifetime, Fixed Term"</formula1>
    </dataValidation>
    <dataValidation type="list" allowBlank="1" showInputMessage="1" showErrorMessage="1" sqref="Q6">
      <formula1>"1,2,3,4,5,6,7,8,9,10,11,12,13,14,15,16,17,18,19,20,21,22,23,24,25,26,27,28,29,30"</formula1>
    </dataValidation>
    <dataValidation type="list" allowBlank="1" showInputMessage="1" showErrorMessage="1" sqref="L6">
      <formula1>"-10%,-15%,-20%,-25%,-30%,-35%,-40%"</formula1>
    </dataValidation>
    <dataValidation type="list" allowBlank="1" showInputMessage="1" showErrorMessage="1" sqref="L26">
      <formula1>"Nil, Partial CPI"</formula1>
    </dataValidation>
    <dataValidation type="list" allowBlank="1" showInputMessage="1" showErrorMessage="1" sqref="L40 L51 L53">
      <formula1>"Nil, CPI"</formula1>
    </dataValidation>
    <dataValidation type="list" allowBlank="1" showInputMessage="1" showErrorMessage="1" sqref="L15 L13">
      <formula1>"Deduction, Deemed"</formula1>
    </dataValidation>
    <dataValidation type="list" allowBlank="1" showInputMessage="1" showErrorMessage="1" sqref="T26 J17 T46 H13:J13 H15:J15">
      <formula1>"No, Yes"</formula1>
    </dataValidation>
    <dataValidation type="list" allowBlank="1" showInputMessage="1" showErrorMessage="1" sqref="N67 L88">
      <formula1>"Yes, No"</formula1>
    </dataValidation>
    <dataValidation type="list" allowBlank="1" showInputMessage="1" showErrorMessage="1" sqref="J26">
      <formula1>"0.00%, 2.20%"</formula1>
    </dataValidation>
    <dataValidation type="list" allowBlank="1" showInputMessage="1" showErrorMessage="1" sqref="L31 L33">
      <formula1>"Nil, Partial CPI, CPI"</formula1>
    </dataValidation>
    <dataValidation type="list" allowBlank="1" showInputMessage="1" showErrorMessage="1" sqref="N59">
      <formula1>"Jointly,by Person 1,by Person 2"</formula1>
    </dataValidation>
    <dataValidation type="list" allowBlank="1" showInputMessage="1" showErrorMessage="1" sqref="J53 J51">
      <formula1>$AO$3:$AO$200</formula1>
    </dataValidation>
    <dataValidation type="list" allowBlank="1" showInputMessage="1" showErrorMessage="1" sqref="P40 P44 N51 N53">
      <formula1>"1, 2, 3, 4, 5, 6, 7, 8, 9, 10, 11, 12, 13, 14, 15, 16, 17, 18, 19, 20, 21, 22, 23, 24, 25, 26, 27, 28, 29, 30, 31, 32, 33, 34, 35, 36, 37, 38, 39, 40"</formula1>
    </dataValidation>
    <dataValidation type="list" showInputMessage="1" showErrorMessage="1" sqref="N13 N15">
      <formula1>$A$92:$A$368</formula1>
    </dataValidation>
    <dataValidation type="list" allowBlank="1" showInputMessage="1" showErrorMessage="1" errorTitle="Invalid Withdrawal Guarantee" error="The Withdrawal Guarantee must be between 100% and 10%" sqref="P31 P33">
      <formula1>$B$93:$B$183</formula1>
    </dataValidation>
    <dataValidation type="list" allowBlank="1" showInputMessage="1" showErrorMessage="1" sqref="F51 F53">
      <formula1>$B$92:$B$192</formula1>
    </dataValidation>
    <dataValidation type="list" allowBlank="1" showInputMessage="1" showErrorMessage="1" sqref="L11">
      <formula1>"One each, Person 1 only, Person 2 only"</formula1>
    </dataValidation>
    <dataValidation type="list" allowBlank="1" showInputMessage="1" showErrorMessage="1" sqref="J31 J33">
      <formula1>$C$92:$C$312</formula1>
    </dataValidation>
  </dataValidations>
  <pageMargins left="0.7" right="0.7" top="0.75" bottom="0.75" header="0.3" footer="0.3"/>
  <pageSetup paperSize="9"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1" stopIfTrue="1" id="{16D018A1-D34F-42F9-A0E8-E18C3AE69048}">
            <xm:f>'Age Pension Calculator'!$V$8="Single"</xm:f>
            <x14:dxf>
              <font>
                <color theme="0" tint="-0.14996795556505021"/>
              </font>
              <fill>
                <patternFill>
                  <bgColor theme="0" tint="-0.14996795556505021"/>
                </patternFill>
              </fill>
              <border>
                <left/>
                <right/>
                <top/>
                <bottom/>
                <vertical/>
                <horizontal/>
              </border>
            </x14:dxf>
          </x14:cfRule>
          <xm:sqref>P24:P26</xm:sqref>
        </x14:conditionalFormatting>
        <x14:conditionalFormatting xmlns:xm="http://schemas.microsoft.com/office/excel/2006/main">
          <x14:cfRule type="expression" priority="70" stopIfTrue="1" id="{80522807-C22A-4F58-BABD-AAC592013939}">
            <xm:f>'Age Pension Calculator'!$V$8="Single"</xm:f>
            <x14:dxf>
              <font>
                <color theme="0" tint="-0.14996795556505021"/>
              </font>
              <fill>
                <patternFill>
                  <bgColor theme="0" tint="-0.14996795556505021"/>
                </patternFill>
              </fill>
              <border>
                <left/>
                <right/>
                <top/>
                <bottom/>
                <vertical/>
                <horizontal/>
              </border>
            </x14:dxf>
          </x14:cfRule>
          <xm:sqref>F33:S33 F31</xm:sqref>
        </x14:conditionalFormatting>
        <x14:conditionalFormatting xmlns:xm="http://schemas.microsoft.com/office/excel/2006/main">
          <x14:cfRule type="expression" priority="24" stopIfTrue="1" id="{BB9649B0-C621-441A-98F9-C0B3F64016F5}">
            <xm:f>'Age Pension Calculator'!$V$8="Single"</xm:f>
            <x14:dxf>
              <font>
                <color theme="0" tint="-0.14996795556505021"/>
              </font>
              <fill>
                <patternFill>
                  <bgColor theme="0" tint="-0.14996795556505021"/>
                </patternFill>
              </fill>
              <border>
                <left/>
                <right/>
                <top/>
                <bottom/>
                <vertical/>
                <horizontal/>
              </border>
            </x14:dxf>
          </x14:cfRule>
          <xm:sqref>F15:M15 Q17:R18</xm:sqref>
        </x14:conditionalFormatting>
        <x14:conditionalFormatting xmlns:xm="http://schemas.microsoft.com/office/excel/2006/main">
          <x14:cfRule type="expression" priority="23" stopIfTrue="1" id="{6C473D53-5880-4F18-B4D2-319C6E635A2F}">
            <xm:f>'Age Pension Calculator'!$V$8="Single"</xm:f>
            <x14:dxf>
              <font>
                <color theme="0" tint="-0.14996795556505021"/>
              </font>
              <fill>
                <patternFill>
                  <bgColor theme="0" tint="-0.14996795556505021"/>
                </patternFill>
              </fill>
              <border>
                <left/>
                <right/>
                <top/>
                <bottom/>
                <vertical/>
                <horizontal/>
              </border>
            </x14:dxf>
          </x14:cfRule>
          <xm:sqref>L59:N59</xm:sqref>
        </x14:conditionalFormatting>
        <x14:conditionalFormatting xmlns:xm="http://schemas.microsoft.com/office/excel/2006/main">
          <x14:cfRule type="expression" priority="16" stopIfTrue="1" id="{B8F56931-649B-4027-A69E-822A76F67FDC}">
            <xm:f>'Age Pension Calculator'!$V$8="Single"</xm:f>
            <x14:dxf>
              <font>
                <color theme="0" tint="-0.14996795556505021"/>
              </font>
              <fill>
                <patternFill>
                  <bgColor theme="0" tint="-0.14996795556505021"/>
                </patternFill>
              </fill>
              <border>
                <left/>
                <right/>
                <top/>
                <bottom/>
                <vertical/>
                <horizontal/>
              </border>
            </x14:dxf>
          </x14:cfRule>
          <x14:cfRule type="expression" priority="17" stopIfTrue="1" id="{59F8C360-2E70-430B-B403-187663328593}">
            <xm:f>OR('Age Pension Calculator'!$AJ$16="No",'Age Pension Calculator'!$AJ$17="No")</xm:f>
            <x14:dxf>
              <font>
                <color theme="0" tint="-0.14996795556505021"/>
              </font>
              <fill>
                <patternFill>
                  <bgColor theme="0" tint="-0.14996795556505021"/>
                </patternFill>
              </fill>
              <border>
                <left/>
                <right/>
                <top/>
                <bottom/>
                <vertical/>
                <horizontal/>
              </border>
            </x14:dxf>
          </x14:cfRule>
          <xm:sqref>J11:L11</xm:sqref>
        </x14:conditionalFormatting>
        <x14:conditionalFormatting xmlns:xm="http://schemas.microsoft.com/office/excel/2006/main">
          <x14:cfRule type="expression" priority="14" id="{03A092FF-43D0-462F-AB98-72051A4436EF}">
            <xm:f>AND('Age Pension Calculator'!$V$8="Single",$H$13="No",$H$15="Yes")</xm:f>
            <x14:dxf>
              <font>
                <color theme="0" tint="-0.14996795556505021"/>
              </font>
            </x14:dxf>
          </x14:cfRule>
          <xm:sqref>L12 N12:R12 S13</xm:sqref>
        </x14:conditionalFormatting>
        <x14:conditionalFormatting xmlns:xm="http://schemas.microsoft.com/office/excel/2006/main">
          <x14:cfRule type="expression" priority="11" stopIfTrue="1" id="{0B58A6DD-0655-44AA-999C-AB53550BC8E0}">
            <xm:f>'Age Pension Calculator'!$V$8="Single"</xm:f>
            <x14:dxf>
              <font>
                <color theme="0" tint="-0.14996795556505021"/>
              </font>
              <fill>
                <patternFill>
                  <bgColor theme="0" tint="-0.14996795556505021"/>
                </patternFill>
              </fill>
              <border>
                <left/>
                <right/>
                <top/>
                <bottom/>
                <vertical/>
                <horizontal/>
              </border>
            </x14:dxf>
          </x14:cfRule>
          <xm:sqref>N15:R15</xm:sqref>
        </x14:conditionalFormatting>
        <x14:conditionalFormatting xmlns:xm="http://schemas.microsoft.com/office/excel/2006/main">
          <x14:cfRule type="expression" priority="7" id="{C645E7A4-3AEF-4EEC-8B2A-B87EE3301CFD}">
            <xm:f>AND('Age Pension Calculator'!$V$8="Couple",$L$13="Deemed",$L$15="Deemed")</xm:f>
            <x14:dxf>
              <font>
                <color theme="0" tint="-0.14996795556505021"/>
              </font>
            </x14:dxf>
          </x14:cfRule>
          <x14:cfRule type="expression" priority="8" id="{11C85210-8455-478C-8C0B-E4BD2EB40DE2}">
            <xm:f>AND('Age Pension Calculator'!$V$8="Single",$L$13="Deemed")</xm:f>
            <x14:dxf>
              <font>
                <color theme="0" tint="-0.14996795556505021"/>
              </font>
            </x14:dxf>
          </x14:cfRule>
          <xm:sqref>N12:R12 S13</xm:sqref>
        </x14:conditionalFormatting>
        <x14:conditionalFormatting xmlns:xm="http://schemas.microsoft.com/office/excel/2006/main">
          <x14:cfRule type="expression" priority="4" id="{B6D53F86-9143-424B-B7B0-850AAD942CEA}">
            <xm:f>AND('Age Pension Calculator'!$V$8="Couple",$H$13="Yes",$H$15="No",$L$13="Deemed")</xm:f>
            <x14:dxf>
              <font>
                <color theme="0" tint="-0.14996795556505021"/>
              </font>
              <fill>
                <patternFill patternType="solid">
                  <bgColor theme="0" tint="-0.14996795556505021"/>
                </patternFill>
              </fill>
            </x14:dxf>
          </x14:cfRule>
          <x14:cfRule type="expression" priority="6" id="{C166B747-2EB1-49B1-B8AD-A4F1579AE910}">
            <xm:f>AND('Age Pension Calculator'!$V$8="Couple",$H$13="No",$H$15="Yes",$L$15="Deemed")</xm:f>
            <x14:dxf>
              <font>
                <color theme="0" tint="-0.14996795556505021"/>
              </font>
            </x14:dxf>
          </x14:cfRule>
          <xm:sqref>N12:R12 S13:W16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'Admin Settings'!#REF!</xm:f>
          </x14:formula1>
          <xm:sqref>N40 V53 V51</xm:sqref>
        </x14:dataValidation>
        <x14:dataValidation type="whole" operator="lessThanOrEqual" allowBlank="1" showInputMessage="1" showErrorMessage="1" errorTitle="Amount exceeds ABP balance" error="You cannot enter an amount greater than Person 1's Account-Based Pension balance.  ">
          <x14:formula1>
            <xm:f>'Age Pension Calculator'!V38</xm:f>
          </x14:formula1>
          <xm:sqref>N17</xm:sqref>
        </x14:dataValidation>
        <x14:dataValidation type="whole" operator="lessThanOrEqual" allowBlank="1" showInputMessage="1" showErrorMessage="1" errorTitle="Amount exceeds ABP balance" error="You cannot enter an amount greater than Person 2's Account-Based Pension balance.  ">
          <x14:formula1>
            <xm:f>'Age Pension Calculator'!V41</xm:f>
          </x14:formula1>
          <xm:sqref>R17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S173"/>
  <sheetViews>
    <sheetView workbookViewId="0">
      <selection activeCell="H3" sqref="H3"/>
    </sheetView>
    <sheetView workbookViewId="1"/>
  </sheetViews>
  <sheetFormatPr defaultRowHeight="15.75"/>
  <cols>
    <col min="2" max="2" width="35.75" customWidth="1"/>
    <col min="7" max="7" width="11.875" customWidth="1"/>
    <col min="8" max="8" width="11.125" customWidth="1"/>
    <col min="12" max="12" width="15.75" bestFit="1" customWidth="1"/>
    <col min="13" max="13" width="25.625" customWidth="1"/>
    <col min="15" max="15" width="10.875" customWidth="1"/>
    <col min="17" max="17" width="10.125" bestFit="1" customWidth="1"/>
  </cols>
  <sheetData>
    <row r="1" spans="1:19">
      <c r="A1" s="8" t="s">
        <v>868</v>
      </c>
      <c r="B1" s="659">
        <v>42617</v>
      </c>
    </row>
    <row r="2" spans="1:19">
      <c r="L2" s="8" t="s">
        <v>3</v>
      </c>
      <c r="M2" s="8" t="s">
        <v>431</v>
      </c>
      <c r="N2" s="8" t="s">
        <v>695</v>
      </c>
      <c r="O2" s="8" t="s">
        <v>92</v>
      </c>
      <c r="P2" s="8" t="s">
        <v>696</v>
      </c>
      <c r="Q2" s="8" t="s">
        <v>697</v>
      </c>
      <c r="S2" s="22" t="s">
        <v>533</v>
      </c>
    </row>
    <row r="3" spans="1:19" ht="15.75" customHeight="1">
      <c r="A3" s="1364" t="s">
        <v>536</v>
      </c>
      <c r="B3" s="1364"/>
      <c r="K3" s="8" t="s">
        <v>22</v>
      </c>
      <c r="L3">
        <f ca="1">'Admin Settings'!F80</f>
        <v>66</v>
      </c>
      <c r="M3" t="str">
        <f ca="1">'Admin Settings'!G80</f>
        <v>M</v>
      </c>
      <c r="N3" s="429">
        <f ca="1">'Admin Settings'!K80</f>
        <v>0.75</v>
      </c>
      <c r="O3">
        <f>'Admin Settings'!L80</f>
        <v>0</v>
      </c>
      <c r="P3" s="367">
        <f>'Admin Settings'!M80</f>
        <v>2.1999999999999999E-2</v>
      </c>
      <c r="Q3" s="45">
        <f ca="1">VLOOKUP($S3,$L$13:$M$172,2,FALSE)</f>
        <v>5000.04</v>
      </c>
      <c r="S3" s="28" t="str">
        <f ca="1">CONCATENATE(L3,M3,N3,O3,P3)</f>
        <v>66M0.7500.022</v>
      </c>
    </row>
    <row r="4" spans="1:19" ht="22.5" customHeight="1">
      <c r="A4" s="1364"/>
      <c r="B4" s="1364"/>
      <c r="K4" s="8" t="s">
        <v>23</v>
      </c>
      <c r="L4">
        <f ca="1">'Admin Settings'!F81</f>
        <v>66</v>
      </c>
      <c r="M4" t="str">
        <f ca="1">'Admin Settings'!G81</f>
        <v>M</v>
      </c>
      <c r="N4" s="429">
        <f ca="1">'Admin Settings'!K81</f>
        <v>0.75</v>
      </c>
      <c r="O4">
        <f>'Admin Settings'!L81</f>
        <v>0</v>
      </c>
      <c r="P4" s="367">
        <f>'Admin Settings'!M81</f>
        <v>2.1999999999999999E-2</v>
      </c>
      <c r="Q4" s="45">
        <f ca="1">VLOOKUP($S4,$L$13:$M$172,2,FALSE)</f>
        <v>5000.04</v>
      </c>
      <c r="S4" s="28" t="str">
        <f ca="1">CONCATENATE(L4,M4,N4,O4,P4)</f>
        <v>66M0.7500.022</v>
      </c>
    </row>
    <row r="5" spans="1:19">
      <c r="A5" t="s">
        <v>863</v>
      </c>
    </row>
    <row r="10" spans="1:19">
      <c r="L10" s="8" t="s">
        <v>864</v>
      </c>
    </row>
    <row r="12" spans="1:19">
      <c r="B12" s="432" t="s">
        <v>533</v>
      </c>
      <c r="C12" s="14" t="s">
        <v>689</v>
      </c>
      <c r="D12" s="14" t="s">
        <v>690</v>
      </c>
      <c r="E12" s="14" t="s">
        <v>691</v>
      </c>
      <c r="F12" s="14" t="s">
        <v>692</v>
      </c>
      <c r="G12" s="14" t="s">
        <v>693</v>
      </c>
      <c r="H12" s="14" t="s">
        <v>694</v>
      </c>
      <c r="L12" s="686" t="s">
        <v>534</v>
      </c>
      <c r="M12" t="s">
        <v>862</v>
      </c>
    </row>
    <row r="13" spans="1:19">
      <c r="B13" t="str">
        <f t="shared" ref="B13:B44" si="0">CONCATENATE(C13,D13,E13,F13,G13,)</f>
        <v>60M0.8500.022</v>
      </c>
      <c r="C13" s="431">
        <v>60</v>
      </c>
      <c r="D13" s="431" t="s">
        <v>657</v>
      </c>
      <c r="E13" s="540">
        <v>0.85</v>
      </c>
      <c r="F13" s="431">
        <v>0</v>
      </c>
      <c r="G13" s="541">
        <v>2.1999999999999999E-2</v>
      </c>
      <c r="H13" s="431">
        <v>4000.08</v>
      </c>
      <c r="L13" s="683" t="s">
        <v>702</v>
      </c>
      <c r="M13" s="687">
        <v>4000.08</v>
      </c>
    </row>
    <row r="14" spans="1:19">
      <c r="B14" s="489" t="str">
        <f t="shared" si="0"/>
        <v>61M0.8500.022</v>
      </c>
      <c r="C14" s="431">
        <v>61</v>
      </c>
      <c r="D14" s="431" t="s">
        <v>657</v>
      </c>
      <c r="E14" s="540">
        <v>0.85</v>
      </c>
      <c r="F14" s="431">
        <v>0</v>
      </c>
      <c r="G14" s="541">
        <v>2.1999999999999999E-2</v>
      </c>
      <c r="H14" s="431">
        <v>4000.08</v>
      </c>
      <c r="L14" s="683" t="s">
        <v>703</v>
      </c>
      <c r="M14" s="687">
        <v>4000.08</v>
      </c>
    </row>
    <row r="15" spans="1:19">
      <c r="B15" s="489" t="str">
        <f t="shared" si="0"/>
        <v>62M0.8500.022</v>
      </c>
      <c r="C15" s="431">
        <v>62</v>
      </c>
      <c r="D15" s="431" t="s">
        <v>657</v>
      </c>
      <c r="E15" s="540">
        <v>0.85</v>
      </c>
      <c r="F15" s="431">
        <v>0</v>
      </c>
      <c r="G15" s="541">
        <v>2.1999999999999999E-2</v>
      </c>
      <c r="H15" s="431">
        <v>4000.08</v>
      </c>
      <c r="L15" s="683" t="s">
        <v>704</v>
      </c>
      <c r="M15" s="687">
        <v>4000.08</v>
      </c>
    </row>
    <row r="16" spans="1:19">
      <c r="B16" s="489" t="str">
        <f t="shared" si="0"/>
        <v>63M0.8500.022</v>
      </c>
      <c r="C16" s="431">
        <v>63</v>
      </c>
      <c r="D16" s="431" t="s">
        <v>657</v>
      </c>
      <c r="E16" s="540">
        <v>0.85</v>
      </c>
      <c r="F16" s="431">
        <v>0</v>
      </c>
      <c r="G16" s="541">
        <v>2.1999999999999999E-2</v>
      </c>
      <c r="H16" s="431">
        <v>4000.08</v>
      </c>
      <c r="L16" s="683" t="s">
        <v>705</v>
      </c>
      <c r="M16" s="687">
        <v>4000.08</v>
      </c>
    </row>
    <row r="17" spans="2:13">
      <c r="B17" s="489" t="str">
        <f t="shared" si="0"/>
        <v>64M0.8500.022</v>
      </c>
      <c r="C17" s="431">
        <v>64</v>
      </c>
      <c r="D17" s="431" t="s">
        <v>657</v>
      </c>
      <c r="E17" s="540">
        <v>0.85</v>
      </c>
      <c r="F17" s="431">
        <v>0</v>
      </c>
      <c r="G17" s="541">
        <v>2.1999999999999999E-2</v>
      </c>
      <c r="H17" s="431">
        <v>4000.08</v>
      </c>
      <c r="L17" s="683" t="s">
        <v>706</v>
      </c>
      <c r="M17" s="687">
        <v>4067.16</v>
      </c>
    </row>
    <row r="18" spans="2:13">
      <c r="B18" s="489" t="str">
        <f t="shared" si="0"/>
        <v>65M0.7500.022</v>
      </c>
      <c r="C18" s="431">
        <v>65</v>
      </c>
      <c r="D18" s="431" t="s">
        <v>657</v>
      </c>
      <c r="E18" s="540">
        <v>0.75</v>
      </c>
      <c r="F18" s="431">
        <v>0</v>
      </c>
      <c r="G18" s="541">
        <v>2.1999999999999999E-2</v>
      </c>
      <c r="H18" s="431">
        <v>5000.04</v>
      </c>
      <c r="L18" s="683" t="s">
        <v>707</v>
      </c>
      <c r="M18" s="687">
        <v>4000.08</v>
      </c>
    </row>
    <row r="19" spans="2:13">
      <c r="B19" s="489" t="str">
        <f t="shared" si="0"/>
        <v>66M0.7500.022</v>
      </c>
      <c r="C19" s="431">
        <v>66</v>
      </c>
      <c r="D19" s="431" t="s">
        <v>657</v>
      </c>
      <c r="E19" s="540">
        <v>0.75</v>
      </c>
      <c r="F19" s="431">
        <v>0</v>
      </c>
      <c r="G19" s="541">
        <v>2.1999999999999999E-2</v>
      </c>
      <c r="H19" s="431">
        <v>5000.04</v>
      </c>
      <c r="L19" s="683" t="s">
        <v>708</v>
      </c>
      <c r="M19" s="687">
        <v>4000.08</v>
      </c>
    </row>
    <row r="20" spans="2:13">
      <c r="B20" s="489" t="str">
        <f t="shared" si="0"/>
        <v>67M0.7500.022</v>
      </c>
      <c r="C20" s="431">
        <v>67</v>
      </c>
      <c r="D20" s="431" t="s">
        <v>657</v>
      </c>
      <c r="E20" s="540">
        <v>0.75</v>
      </c>
      <c r="F20" s="431">
        <v>0</v>
      </c>
      <c r="G20" s="541">
        <v>2.1999999999999999E-2</v>
      </c>
      <c r="H20" s="431">
        <v>5000.04</v>
      </c>
      <c r="L20" s="683" t="s">
        <v>709</v>
      </c>
      <c r="M20" s="687">
        <v>4000.08</v>
      </c>
    </row>
    <row r="21" spans="2:13">
      <c r="B21" s="489" t="str">
        <f t="shared" si="0"/>
        <v>68M0.7500.022</v>
      </c>
      <c r="C21" s="431">
        <v>68</v>
      </c>
      <c r="D21" s="431" t="s">
        <v>657</v>
      </c>
      <c r="E21" s="540">
        <v>0.75</v>
      </c>
      <c r="F21" s="431">
        <v>0</v>
      </c>
      <c r="G21" s="541">
        <v>2.1999999999999999E-2</v>
      </c>
      <c r="H21" s="431">
        <v>5000.04</v>
      </c>
      <c r="L21" s="683" t="s">
        <v>710</v>
      </c>
      <c r="M21" s="687">
        <v>4025.76</v>
      </c>
    </row>
    <row r="22" spans="2:13">
      <c r="B22" s="489" t="str">
        <f t="shared" si="0"/>
        <v>69M0.7500.022</v>
      </c>
      <c r="C22" s="431">
        <v>69</v>
      </c>
      <c r="D22" s="431" t="s">
        <v>657</v>
      </c>
      <c r="E22" s="540">
        <v>0.75</v>
      </c>
      <c r="F22" s="431">
        <v>0</v>
      </c>
      <c r="G22" s="541">
        <v>2.1999999999999999E-2</v>
      </c>
      <c r="H22" s="431">
        <v>5000.04</v>
      </c>
      <c r="L22" s="683" t="s">
        <v>711</v>
      </c>
      <c r="M22" s="687">
        <v>4000.08</v>
      </c>
    </row>
    <row r="23" spans="2:13">
      <c r="B23" s="489" t="str">
        <f t="shared" si="0"/>
        <v>70M0.7500.022</v>
      </c>
      <c r="C23" s="431">
        <v>70</v>
      </c>
      <c r="D23" s="431" t="s">
        <v>657</v>
      </c>
      <c r="E23" s="540">
        <v>0.75</v>
      </c>
      <c r="F23" s="431">
        <v>0</v>
      </c>
      <c r="G23" s="541">
        <v>2.1999999999999999E-2</v>
      </c>
      <c r="H23" s="431">
        <v>5000.04</v>
      </c>
      <c r="L23" s="683" t="s">
        <v>712</v>
      </c>
      <c r="M23" s="687">
        <v>4000.08</v>
      </c>
    </row>
    <row r="24" spans="2:13">
      <c r="B24" s="489" t="str">
        <f t="shared" si="0"/>
        <v>71M0.7500.022</v>
      </c>
      <c r="C24" s="431">
        <v>71</v>
      </c>
      <c r="D24" s="431" t="s">
        <v>657</v>
      </c>
      <c r="E24" s="540">
        <v>0.75</v>
      </c>
      <c r="F24" s="431">
        <v>0</v>
      </c>
      <c r="G24" s="541">
        <v>2.1999999999999999E-2</v>
      </c>
      <c r="H24" s="431">
        <v>5000.04</v>
      </c>
      <c r="L24" s="683" t="s">
        <v>713</v>
      </c>
      <c r="M24" s="687">
        <v>4000.08</v>
      </c>
    </row>
    <row r="25" spans="2:13">
      <c r="B25" s="489" t="str">
        <f t="shared" si="0"/>
        <v>72M0.7500.022</v>
      </c>
      <c r="C25" s="431">
        <v>72</v>
      </c>
      <c r="D25" s="431" t="s">
        <v>657</v>
      </c>
      <c r="E25" s="540">
        <v>0.75</v>
      </c>
      <c r="F25" s="431">
        <v>0</v>
      </c>
      <c r="G25" s="541">
        <v>2.1999999999999999E-2</v>
      </c>
      <c r="H25" s="431">
        <v>5000.04</v>
      </c>
      <c r="L25" s="683" t="s">
        <v>714</v>
      </c>
      <c r="M25" s="687">
        <v>4120.2</v>
      </c>
    </row>
    <row r="26" spans="2:13">
      <c r="B26" s="489" t="str">
        <f t="shared" si="0"/>
        <v>73M0.7500.022</v>
      </c>
      <c r="C26" s="431">
        <v>73</v>
      </c>
      <c r="D26" s="431" t="s">
        <v>657</v>
      </c>
      <c r="E26" s="540">
        <v>0.75</v>
      </c>
      <c r="F26" s="431">
        <v>0</v>
      </c>
      <c r="G26" s="541">
        <v>2.1999999999999999E-2</v>
      </c>
      <c r="H26" s="431">
        <v>5000.04</v>
      </c>
      <c r="L26" s="683" t="s">
        <v>715</v>
      </c>
      <c r="M26" s="687">
        <v>4029.24</v>
      </c>
    </row>
    <row r="27" spans="2:13">
      <c r="B27" s="489" t="str">
        <f t="shared" si="0"/>
        <v>74M0.7500.022</v>
      </c>
      <c r="C27" s="431">
        <v>74</v>
      </c>
      <c r="D27" s="431" t="s">
        <v>657</v>
      </c>
      <c r="E27" s="540">
        <v>0.75</v>
      </c>
      <c r="F27" s="431">
        <v>0</v>
      </c>
      <c r="G27" s="541">
        <v>2.1999999999999999E-2</v>
      </c>
      <c r="H27" s="431">
        <v>5000.04</v>
      </c>
      <c r="L27" s="683" t="s">
        <v>716</v>
      </c>
      <c r="M27" s="687">
        <v>4000.08</v>
      </c>
    </row>
    <row r="28" spans="2:13">
      <c r="B28" s="489" t="str">
        <f t="shared" si="0"/>
        <v>75M0.5500.022</v>
      </c>
      <c r="C28" s="431">
        <v>75</v>
      </c>
      <c r="D28" s="431" t="s">
        <v>657</v>
      </c>
      <c r="E28" s="540">
        <v>0.55000000000000004</v>
      </c>
      <c r="F28" s="431">
        <v>0</v>
      </c>
      <c r="G28" s="541">
        <v>2.1999999999999999E-2</v>
      </c>
      <c r="H28" s="431">
        <v>6000</v>
      </c>
      <c r="L28" s="683" t="s">
        <v>717</v>
      </c>
      <c r="M28" s="687">
        <v>4000.08</v>
      </c>
    </row>
    <row r="29" spans="2:13">
      <c r="B29" s="489" t="str">
        <f t="shared" si="0"/>
        <v>76M0.5500.022</v>
      </c>
      <c r="C29" s="431">
        <v>76</v>
      </c>
      <c r="D29" s="431" t="s">
        <v>657</v>
      </c>
      <c r="E29" s="540">
        <v>0.55000000000000004</v>
      </c>
      <c r="F29" s="431">
        <v>0</v>
      </c>
      <c r="G29" s="541">
        <v>2.1999999999999999E-2</v>
      </c>
      <c r="H29" s="431">
        <v>6000</v>
      </c>
      <c r="L29" s="683" t="s">
        <v>718</v>
      </c>
      <c r="M29" s="687">
        <v>4081.9199999999996</v>
      </c>
    </row>
    <row r="30" spans="2:13">
      <c r="B30" s="489" t="str">
        <f t="shared" si="0"/>
        <v>77M0.5500.022</v>
      </c>
      <c r="C30" s="431">
        <v>77</v>
      </c>
      <c r="D30" s="431" t="s">
        <v>657</v>
      </c>
      <c r="E30" s="540">
        <v>0.55000000000000004</v>
      </c>
      <c r="F30" s="431">
        <v>0</v>
      </c>
      <c r="G30" s="541">
        <v>2.1999999999999999E-2</v>
      </c>
      <c r="H30" s="431">
        <v>6000</v>
      </c>
      <c r="L30" s="683" t="s">
        <v>719</v>
      </c>
      <c r="M30" s="687">
        <v>4000.08</v>
      </c>
    </row>
    <row r="31" spans="2:13">
      <c r="B31" s="489" t="str">
        <f t="shared" si="0"/>
        <v>78M0.5500.022</v>
      </c>
      <c r="C31" s="431">
        <v>78</v>
      </c>
      <c r="D31" s="431" t="s">
        <v>657</v>
      </c>
      <c r="E31" s="540">
        <v>0.55000000000000004</v>
      </c>
      <c r="F31" s="431">
        <v>0</v>
      </c>
      <c r="G31" s="541">
        <v>2.1999999999999999E-2</v>
      </c>
      <c r="H31" s="431">
        <v>6000</v>
      </c>
      <c r="L31" s="683" t="s">
        <v>720</v>
      </c>
      <c r="M31" s="687">
        <v>4000.08</v>
      </c>
    </row>
    <row r="32" spans="2:13">
      <c r="B32" s="489" t="str">
        <f t="shared" si="0"/>
        <v>79M0.5500.022</v>
      </c>
      <c r="C32" s="431">
        <v>79</v>
      </c>
      <c r="D32" s="431" t="s">
        <v>657</v>
      </c>
      <c r="E32" s="540">
        <v>0.55000000000000004</v>
      </c>
      <c r="F32" s="431">
        <v>0</v>
      </c>
      <c r="G32" s="541">
        <v>2.1999999999999999E-2</v>
      </c>
      <c r="H32" s="431">
        <v>6000</v>
      </c>
      <c r="L32" s="683" t="s">
        <v>721</v>
      </c>
      <c r="M32" s="687">
        <v>4000.08</v>
      </c>
    </row>
    <row r="33" spans="2:13">
      <c r="B33" s="489" t="str">
        <f t="shared" si="0"/>
        <v>60M0.8500</v>
      </c>
      <c r="C33" s="431">
        <v>60</v>
      </c>
      <c r="D33" s="431" t="s">
        <v>657</v>
      </c>
      <c r="E33" s="540">
        <v>0.85</v>
      </c>
      <c r="F33" s="431">
        <v>0</v>
      </c>
      <c r="G33" s="541">
        <v>0</v>
      </c>
      <c r="H33" s="431">
        <v>4000.08</v>
      </c>
      <c r="L33" s="683" t="s">
        <v>722</v>
      </c>
      <c r="M33" s="687">
        <v>4170.72</v>
      </c>
    </row>
    <row r="34" spans="2:13">
      <c r="B34" s="489" t="str">
        <f t="shared" si="0"/>
        <v>61M0.8500</v>
      </c>
      <c r="C34" s="431">
        <v>61</v>
      </c>
      <c r="D34" s="431" t="s">
        <v>657</v>
      </c>
      <c r="E34" s="540">
        <v>0.85</v>
      </c>
      <c r="F34" s="431">
        <v>0</v>
      </c>
      <c r="G34" s="541">
        <v>0</v>
      </c>
      <c r="H34" s="431">
        <v>4000.08</v>
      </c>
      <c r="L34" s="683" t="s">
        <v>723</v>
      </c>
      <c r="M34" s="687">
        <v>4076.5199999999995</v>
      </c>
    </row>
    <row r="35" spans="2:13">
      <c r="B35" s="489" t="str">
        <f t="shared" si="0"/>
        <v>62M0.8500</v>
      </c>
      <c r="C35" s="431">
        <v>62</v>
      </c>
      <c r="D35" s="431" t="s">
        <v>657</v>
      </c>
      <c r="E35" s="540">
        <v>0.85</v>
      </c>
      <c r="F35" s="431">
        <v>0</v>
      </c>
      <c r="G35" s="541">
        <v>0</v>
      </c>
      <c r="H35" s="431">
        <v>4000.08</v>
      </c>
      <c r="L35" s="683" t="s">
        <v>724</v>
      </c>
      <c r="M35" s="687">
        <v>4000.08</v>
      </c>
    </row>
    <row r="36" spans="2:13">
      <c r="B36" s="489" t="str">
        <f t="shared" si="0"/>
        <v>63M0.8500</v>
      </c>
      <c r="C36" s="431">
        <v>63</v>
      </c>
      <c r="D36" s="431" t="s">
        <v>657</v>
      </c>
      <c r="E36" s="540">
        <v>0.85</v>
      </c>
      <c r="F36" s="431">
        <v>0</v>
      </c>
      <c r="G36" s="541">
        <v>0</v>
      </c>
      <c r="H36" s="431">
        <v>4000.08</v>
      </c>
      <c r="L36" s="683" t="s">
        <v>725</v>
      </c>
      <c r="M36" s="687">
        <v>4000.08</v>
      </c>
    </row>
    <row r="37" spans="2:13">
      <c r="B37" s="489" t="str">
        <f t="shared" si="0"/>
        <v>64M0.8500</v>
      </c>
      <c r="C37" s="431">
        <v>64</v>
      </c>
      <c r="D37" s="431" t="s">
        <v>657</v>
      </c>
      <c r="E37" s="540">
        <v>0.85</v>
      </c>
      <c r="F37" s="431">
        <v>0</v>
      </c>
      <c r="G37" s="541">
        <v>0</v>
      </c>
      <c r="H37" s="431">
        <v>4000.08</v>
      </c>
      <c r="L37" s="683" t="s">
        <v>726</v>
      </c>
      <c r="M37" s="687">
        <v>4136.76</v>
      </c>
    </row>
    <row r="38" spans="2:13">
      <c r="B38" s="489" t="str">
        <f t="shared" si="0"/>
        <v>65M0.7500</v>
      </c>
      <c r="C38" s="431">
        <v>65</v>
      </c>
      <c r="D38" s="431" t="s">
        <v>657</v>
      </c>
      <c r="E38" s="540">
        <v>0.75</v>
      </c>
      <c r="F38" s="431">
        <v>0</v>
      </c>
      <c r="G38" s="541">
        <v>0</v>
      </c>
      <c r="H38" s="431">
        <v>5000.04</v>
      </c>
      <c r="L38" s="683" t="s">
        <v>727</v>
      </c>
      <c r="M38" s="687">
        <v>4045.44</v>
      </c>
    </row>
    <row r="39" spans="2:13">
      <c r="B39" s="489" t="str">
        <f t="shared" si="0"/>
        <v>66M0.7500</v>
      </c>
      <c r="C39" s="431">
        <v>66</v>
      </c>
      <c r="D39" s="431" t="s">
        <v>657</v>
      </c>
      <c r="E39" s="540">
        <v>0.75</v>
      </c>
      <c r="F39" s="431">
        <v>0</v>
      </c>
      <c r="G39" s="541">
        <v>0</v>
      </c>
      <c r="H39" s="431">
        <v>5000.04</v>
      </c>
      <c r="L39" s="683" t="s">
        <v>728</v>
      </c>
      <c r="M39" s="687">
        <v>4000.08</v>
      </c>
    </row>
    <row r="40" spans="2:13">
      <c r="B40" s="489" t="str">
        <f t="shared" si="0"/>
        <v>67M0.7500</v>
      </c>
      <c r="C40" s="431">
        <v>67</v>
      </c>
      <c r="D40" s="431" t="s">
        <v>657</v>
      </c>
      <c r="E40" s="540">
        <v>0.75</v>
      </c>
      <c r="F40" s="431">
        <v>0</v>
      </c>
      <c r="G40" s="541">
        <v>0</v>
      </c>
      <c r="H40" s="431">
        <v>5000.04</v>
      </c>
      <c r="L40" s="683" t="s">
        <v>729</v>
      </c>
      <c r="M40" s="687">
        <v>4000.08</v>
      </c>
    </row>
    <row r="41" spans="2:13">
      <c r="B41" s="489" t="str">
        <f t="shared" si="0"/>
        <v>68M0.7500</v>
      </c>
      <c r="C41" s="431">
        <v>68</v>
      </c>
      <c r="D41" s="431" t="s">
        <v>657</v>
      </c>
      <c r="E41" s="540">
        <v>0.75</v>
      </c>
      <c r="F41" s="431">
        <v>0</v>
      </c>
      <c r="G41" s="541">
        <v>0</v>
      </c>
      <c r="H41" s="431">
        <v>5000.04</v>
      </c>
      <c r="L41" s="683" t="s">
        <v>730</v>
      </c>
      <c r="M41" s="687">
        <v>4217.3999999999996</v>
      </c>
    </row>
    <row r="42" spans="2:13">
      <c r="B42" s="489" t="str">
        <f t="shared" si="0"/>
        <v>69M0.7500</v>
      </c>
      <c r="C42" s="431">
        <v>69</v>
      </c>
      <c r="D42" s="431" t="s">
        <v>657</v>
      </c>
      <c r="E42" s="540">
        <v>0.75</v>
      </c>
      <c r="F42" s="431">
        <v>0</v>
      </c>
      <c r="G42" s="541">
        <v>0</v>
      </c>
      <c r="H42" s="431">
        <v>5000.04</v>
      </c>
      <c r="L42" s="683" t="s">
        <v>731</v>
      </c>
      <c r="M42" s="687">
        <v>4119.12</v>
      </c>
    </row>
    <row r="43" spans="2:13">
      <c r="B43" s="489" t="str">
        <f t="shared" si="0"/>
        <v>70M0.7500</v>
      </c>
      <c r="C43" s="431">
        <v>70</v>
      </c>
      <c r="D43" s="431" t="s">
        <v>657</v>
      </c>
      <c r="E43" s="540">
        <v>0.75</v>
      </c>
      <c r="F43" s="431">
        <v>0</v>
      </c>
      <c r="G43" s="541">
        <v>0</v>
      </c>
      <c r="H43" s="431">
        <v>5000.04</v>
      </c>
      <c r="L43" s="683" t="s">
        <v>732</v>
      </c>
      <c r="M43" s="687">
        <v>4000.08</v>
      </c>
    </row>
    <row r="44" spans="2:13">
      <c r="B44" s="489" t="str">
        <f t="shared" si="0"/>
        <v>71M0.7500</v>
      </c>
      <c r="C44" s="431">
        <v>71</v>
      </c>
      <c r="D44" s="431" t="s">
        <v>657</v>
      </c>
      <c r="E44" s="540">
        <v>0.75</v>
      </c>
      <c r="F44" s="431">
        <v>0</v>
      </c>
      <c r="G44" s="541">
        <v>0</v>
      </c>
      <c r="H44" s="431">
        <v>5000.04</v>
      </c>
      <c r="L44" s="683" t="s">
        <v>733</v>
      </c>
      <c r="M44" s="687">
        <v>4000.08</v>
      </c>
    </row>
    <row r="45" spans="2:13">
      <c r="B45" s="489" t="str">
        <f t="shared" ref="B45:B76" si="1">CONCATENATE(C45,D45,E45,F45,G45,)</f>
        <v>72M0.7500</v>
      </c>
      <c r="C45" s="431">
        <v>72</v>
      </c>
      <c r="D45" s="431" t="s">
        <v>657</v>
      </c>
      <c r="E45" s="540">
        <v>0.75</v>
      </c>
      <c r="F45" s="431">
        <v>0</v>
      </c>
      <c r="G45" s="541">
        <v>0</v>
      </c>
      <c r="H45" s="431">
        <v>5000.04</v>
      </c>
      <c r="L45" s="683" t="s">
        <v>734</v>
      </c>
      <c r="M45" s="687">
        <v>4189.32</v>
      </c>
    </row>
    <row r="46" spans="2:13">
      <c r="B46" s="489" t="str">
        <f t="shared" si="1"/>
        <v>73M0.7500</v>
      </c>
      <c r="C46" s="431">
        <v>73</v>
      </c>
      <c r="D46" s="431" t="s">
        <v>657</v>
      </c>
      <c r="E46" s="540">
        <v>0.75</v>
      </c>
      <c r="F46" s="431">
        <v>0</v>
      </c>
      <c r="G46" s="541">
        <v>0</v>
      </c>
      <c r="H46" s="431">
        <v>5000.04</v>
      </c>
      <c r="L46" s="683" t="s">
        <v>735</v>
      </c>
      <c r="M46" s="687">
        <v>4094.2799999999997</v>
      </c>
    </row>
    <row r="47" spans="2:13">
      <c r="B47" s="489" t="str">
        <f t="shared" si="1"/>
        <v>74M0.7500</v>
      </c>
      <c r="C47" s="431">
        <v>74</v>
      </c>
      <c r="D47" s="431" t="s">
        <v>657</v>
      </c>
      <c r="E47" s="540">
        <v>0.75</v>
      </c>
      <c r="F47" s="431">
        <v>0</v>
      </c>
      <c r="G47" s="541">
        <v>0</v>
      </c>
      <c r="H47" s="431">
        <v>5000.04</v>
      </c>
      <c r="L47" s="683" t="s">
        <v>736</v>
      </c>
      <c r="M47" s="687">
        <v>4000.08</v>
      </c>
    </row>
    <row r="48" spans="2:13">
      <c r="B48" s="489" t="str">
        <f t="shared" si="1"/>
        <v>75M0.5500</v>
      </c>
      <c r="C48" s="431">
        <v>75</v>
      </c>
      <c r="D48" s="431" t="s">
        <v>657</v>
      </c>
      <c r="E48" s="540">
        <v>0.55000000000000004</v>
      </c>
      <c r="F48" s="431">
        <v>0</v>
      </c>
      <c r="G48" s="541">
        <v>0</v>
      </c>
      <c r="H48" s="431">
        <v>6000</v>
      </c>
      <c r="L48" s="683" t="s">
        <v>737</v>
      </c>
      <c r="M48" s="687">
        <v>4000.08</v>
      </c>
    </row>
    <row r="49" spans="2:13">
      <c r="B49" s="489" t="str">
        <f t="shared" si="1"/>
        <v>76M0.5500</v>
      </c>
      <c r="C49" s="431">
        <v>76</v>
      </c>
      <c r="D49" s="431" t="s">
        <v>657</v>
      </c>
      <c r="E49" s="540">
        <v>0.55000000000000004</v>
      </c>
      <c r="F49" s="431">
        <v>0</v>
      </c>
      <c r="G49" s="541">
        <v>0</v>
      </c>
      <c r="H49" s="431">
        <v>6000</v>
      </c>
      <c r="L49" s="683" t="s">
        <v>738</v>
      </c>
      <c r="M49" s="687">
        <v>4258.2</v>
      </c>
    </row>
    <row r="50" spans="2:13">
      <c r="B50" s="489" t="str">
        <f t="shared" si="1"/>
        <v>77M0.5500</v>
      </c>
      <c r="C50" s="431">
        <v>77</v>
      </c>
      <c r="D50" s="431" t="s">
        <v>657</v>
      </c>
      <c r="E50" s="540">
        <v>0.55000000000000004</v>
      </c>
      <c r="F50" s="431">
        <v>0</v>
      </c>
      <c r="G50" s="541">
        <v>0</v>
      </c>
      <c r="H50" s="431">
        <v>6000</v>
      </c>
      <c r="L50" s="683" t="s">
        <v>739</v>
      </c>
      <c r="M50" s="687">
        <v>4154.3999999999996</v>
      </c>
    </row>
    <row r="51" spans="2:13">
      <c r="B51" s="489" t="str">
        <f t="shared" si="1"/>
        <v>78M0.5500</v>
      </c>
      <c r="C51" s="431">
        <v>78</v>
      </c>
      <c r="D51" s="431" t="s">
        <v>657</v>
      </c>
      <c r="E51" s="540">
        <v>0.55000000000000004</v>
      </c>
      <c r="F51" s="431">
        <v>0</v>
      </c>
      <c r="G51" s="541">
        <v>0</v>
      </c>
      <c r="H51" s="431">
        <v>6000</v>
      </c>
      <c r="L51" s="683" t="s">
        <v>740</v>
      </c>
      <c r="M51" s="687">
        <v>4000.08</v>
      </c>
    </row>
    <row r="52" spans="2:13">
      <c r="B52" s="489" t="str">
        <f t="shared" si="1"/>
        <v>79M0.5500</v>
      </c>
      <c r="C52" s="431">
        <v>79</v>
      </c>
      <c r="D52" s="431" t="s">
        <v>657</v>
      </c>
      <c r="E52" s="540">
        <v>0.55000000000000004</v>
      </c>
      <c r="F52" s="431">
        <v>0</v>
      </c>
      <c r="G52" s="541">
        <v>0</v>
      </c>
      <c r="H52" s="431">
        <v>6000</v>
      </c>
      <c r="L52" s="683" t="s">
        <v>741</v>
      </c>
      <c r="M52" s="687">
        <v>4000.08</v>
      </c>
    </row>
    <row r="53" spans="2:13">
      <c r="B53" s="489" t="str">
        <f t="shared" si="1"/>
        <v>60M0.7-0.020.022</v>
      </c>
      <c r="C53" s="431">
        <v>60</v>
      </c>
      <c r="D53" s="431" t="s">
        <v>657</v>
      </c>
      <c r="E53" s="540">
        <v>0.7</v>
      </c>
      <c r="F53" s="431">
        <v>-0.02</v>
      </c>
      <c r="G53" s="541">
        <v>2.1999999999999999E-2</v>
      </c>
      <c r="H53" s="431">
        <v>4000.08</v>
      </c>
      <c r="L53" s="683" t="s">
        <v>742</v>
      </c>
      <c r="M53" s="687">
        <v>5000.04</v>
      </c>
    </row>
    <row r="54" spans="2:13">
      <c r="B54" s="489" t="str">
        <f t="shared" si="1"/>
        <v>61M0.7-0.020.022</v>
      </c>
      <c r="C54" s="431">
        <v>61</v>
      </c>
      <c r="D54" s="431" t="s">
        <v>657</v>
      </c>
      <c r="E54" s="540">
        <v>0.7</v>
      </c>
      <c r="F54" s="431">
        <v>-0.02</v>
      </c>
      <c r="G54" s="541">
        <v>2.1999999999999999E-2</v>
      </c>
      <c r="H54" s="431">
        <v>4029.24</v>
      </c>
      <c r="L54" s="683" t="s">
        <v>743</v>
      </c>
      <c r="M54" s="687">
        <v>5000.04</v>
      </c>
    </row>
    <row r="55" spans="2:13">
      <c r="B55" s="489" t="str">
        <f t="shared" si="1"/>
        <v>62M0.7-0.020.022</v>
      </c>
      <c r="C55" s="431">
        <v>62</v>
      </c>
      <c r="D55" s="431" t="s">
        <v>657</v>
      </c>
      <c r="E55" s="540">
        <v>0.7</v>
      </c>
      <c r="F55" s="431">
        <v>-0.02</v>
      </c>
      <c r="G55" s="541">
        <v>2.1999999999999999E-2</v>
      </c>
      <c r="H55" s="431">
        <v>4076.5199999999995</v>
      </c>
      <c r="L55" s="683" t="s">
        <v>744</v>
      </c>
      <c r="M55" s="687">
        <v>5000.04</v>
      </c>
    </row>
    <row r="56" spans="2:13">
      <c r="B56" s="489" t="str">
        <f t="shared" si="1"/>
        <v>63M0.7-0.020.022</v>
      </c>
      <c r="C56" s="431">
        <v>63</v>
      </c>
      <c r="D56" s="431" t="s">
        <v>657</v>
      </c>
      <c r="E56" s="540">
        <v>0.7</v>
      </c>
      <c r="F56" s="431">
        <v>-0.02</v>
      </c>
      <c r="G56" s="541">
        <v>2.1999999999999999E-2</v>
      </c>
      <c r="H56" s="431">
        <v>4119.12</v>
      </c>
      <c r="L56" s="683" t="s">
        <v>745</v>
      </c>
      <c r="M56" s="687">
        <v>5000.04</v>
      </c>
    </row>
    <row r="57" spans="2:13">
      <c r="B57" s="489" t="str">
        <f t="shared" si="1"/>
        <v>64M0.7-0.020.022</v>
      </c>
      <c r="C57" s="431">
        <v>64</v>
      </c>
      <c r="D57" s="431" t="s">
        <v>657</v>
      </c>
      <c r="E57" s="540">
        <v>0.7</v>
      </c>
      <c r="F57" s="431">
        <v>-0.02</v>
      </c>
      <c r="G57" s="541">
        <v>2.1999999999999999E-2</v>
      </c>
      <c r="H57" s="431">
        <v>4154.3999999999996</v>
      </c>
      <c r="L57" s="683" t="s">
        <v>746</v>
      </c>
      <c r="M57" s="687">
        <v>5000.04</v>
      </c>
    </row>
    <row r="58" spans="2:13">
      <c r="B58" s="489" t="str">
        <f t="shared" si="1"/>
        <v>65M0.6-0.020.022</v>
      </c>
      <c r="C58" s="431">
        <v>65</v>
      </c>
      <c r="D58" s="431" t="s">
        <v>657</v>
      </c>
      <c r="E58" s="540">
        <v>0.6</v>
      </c>
      <c r="F58" s="431">
        <v>-0.02</v>
      </c>
      <c r="G58" s="541">
        <v>2.1999999999999999E-2</v>
      </c>
      <c r="H58" s="431">
        <v>5000.04</v>
      </c>
      <c r="L58" s="683" t="s">
        <v>747</v>
      </c>
      <c r="M58" s="687">
        <v>5000.04</v>
      </c>
    </row>
    <row r="59" spans="2:13">
      <c r="B59" s="489" t="str">
        <f t="shared" si="1"/>
        <v>66M0.6-0.020.022</v>
      </c>
      <c r="C59" s="431">
        <v>66</v>
      </c>
      <c r="D59" s="431" t="s">
        <v>657</v>
      </c>
      <c r="E59" s="540">
        <v>0.6</v>
      </c>
      <c r="F59" s="431">
        <v>-0.02</v>
      </c>
      <c r="G59" s="541">
        <v>2.1999999999999999E-2</v>
      </c>
      <c r="H59" s="431">
        <v>5000.04</v>
      </c>
      <c r="L59" s="683" t="s">
        <v>748</v>
      </c>
      <c r="M59" s="687">
        <v>5000.04</v>
      </c>
    </row>
    <row r="60" spans="2:13">
      <c r="B60" s="489" t="str">
        <f t="shared" si="1"/>
        <v>67M0.6-0.020.022</v>
      </c>
      <c r="C60" s="431">
        <v>67</v>
      </c>
      <c r="D60" s="431" t="s">
        <v>657</v>
      </c>
      <c r="E60" s="540">
        <v>0.6</v>
      </c>
      <c r="F60" s="431">
        <v>-0.02</v>
      </c>
      <c r="G60" s="541">
        <v>2.1999999999999999E-2</v>
      </c>
      <c r="H60" s="431">
        <v>5000.04</v>
      </c>
      <c r="L60" s="683" t="s">
        <v>749</v>
      </c>
      <c r="M60" s="687">
        <v>5000.04</v>
      </c>
    </row>
    <row r="61" spans="2:13">
      <c r="B61" s="489" t="str">
        <f t="shared" si="1"/>
        <v>68M0.6-0.020.022</v>
      </c>
      <c r="C61" s="431">
        <v>68</v>
      </c>
      <c r="D61" s="431" t="s">
        <v>657</v>
      </c>
      <c r="E61" s="540">
        <v>0.6</v>
      </c>
      <c r="F61" s="431">
        <v>-0.02</v>
      </c>
      <c r="G61" s="541">
        <v>2.1999999999999999E-2</v>
      </c>
      <c r="H61" s="431">
        <v>5000.04</v>
      </c>
      <c r="L61" s="683" t="s">
        <v>750</v>
      </c>
      <c r="M61" s="687">
        <v>5000.04</v>
      </c>
    </row>
    <row r="62" spans="2:13">
      <c r="B62" s="489" t="str">
        <f t="shared" si="1"/>
        <v>69M0.6-0.020.022</v>
      </c>
      <c r="C62" s="431">
        <v>69</v>
      </c>
      <c r="D62" s="431" t="s">
        <v>657</v>
      </c>
      <c r="E62" s="540">
        <v>0.6</v>
      </c>
      <c r="F62" s="431">
        <v>-0.02</v>
      </c>
      <c r="G62" s="541">
        <v>2.1999999999999999E-2</v>
      </c>
      <c r="H62" s="431">
        <v>5000.04</v>
      </c>
      <c r="L62" s="683" t="s">
        <v>751</v>
      </c>
      <c r="M62" s="687">
        <v>5000.04</v>
      </c>
    </row>
    <row r="63" spans="2:13">
      <c r="B63" s="489" t="str">
        <f t="shared" si="1"/>
        <v>70M0.6-0.020.022</v>
      </c>
      <c r="C63" s="431">
        <v>70</v>
      </c>
      <c r="D63" s="431" t="s">
        <v>657</v>
      </c>
      <c r="E63" s="540">
        <v>0.6</v>
      </c>
      <c r="F63" s="431">
        <v>-0.02</v>
      </c>
      <c r="G63" s="541">
        <v>2.1999999999999999E-2</v>
      </c>
      <c r="H63" s="431">
        <v>5000.04</v>
      </c>
      <c r="L63" s="683" t="s">
        <v>752</v>
      </c>
      <c r="M63" s="687">
        <v>5000.04</v>
      </c>
    </row>
    <row r="64" spans="2:13">
      <c r="B64" s="489" t="str">
        <f t="shared" si="1"/>
        <v>71M0.6-0.020.022</v>
      </c>
      <c r="C64" s="431">
        <v>71</v>
      </c>
      <c r="D64" s="431" t="s">
        <v>657</v>
      </c>
      <c r="E64" s="540">
        <v>0.6</v>
      </c>
      <c r="F64" s="431">
        <v>-0.02</v>
      </c>
      <c r="G64" s="541">
        <v>2.1999999999999999E-2</v>
      </c>
      <c r="H64" s="431">
        <v>5000.04</v>
      </c>
      <c r="L64" s="683" t="s">
        <v>753</v>
      </c>
      <c r="M64" s="687">
        <v>5000.04</v>
      </c>
    </row>
    <row r="65" spans="2:13">
      <c r="B65" s="489" t="str">
        <f t="shared" si="1"/>
        <v>72M0.6-0.020.022</v>
      </c>
      <c r="C65" s="431">
        <v>72</v>
      </c>
      <c r="D65" s="431" t="s">
        <v>657</v>
      </c>
      <c r="E65" s="540">
        <v>0.6</v>
      </c>
      <c r="F65" s="431">
        <v>-0.02</v>
      </c>
      <c r="G65" s="541">
        <v>2.1999999999999999E-2</v>
      </c>
      <c r="H65" s="431">
        <v>5000.04</v>
      </c>
      <c r="L65" s="683" t="s">
        <v>754</v>
      </c>
      <c r="M65" s="687">
        <v>5000.04</v>
      </c>
    </row>
    <row r="66" spans="2:13">
      <c r="B66" s="489" t="str">
        <f t="shared" si="1"/>
        <v>73M0.6-0.020.022</v>
      </c>
      <c r="C66" s="431">
        <v>73</v>
      </c>
      <c r="D66" s="431" t="s">
        <v>657</v>
      </c>
      <c r="E66" s="540">
        <v>0.6</v>
      </c>
      <c r="F66" s="431">
        <v>-0.02</v>
      </c>
      <c r="G66" s="541">
        <v>2.1999999999999999E-2</v>
      </c>
      <c r="H66" s="431">
        <v>5000.04</v>
      </c>
      <c r="L66" s="683" t="s">
        <v>755</v>
      </c>
      <c r="M66" s="687">
        <v>5000.04</v>
      </c>
    </row>
    <row r="67" spans="2:13">
      <c r="B67" s="489" t="str">
        <f t="shared" si="1"/>
        <v>74M0.6-0.020.022</v>
      </c>
      <c r="C67" s="431">
        <v>74</v>
      </c>
      <c r="D67" s="431" t="s">
        <v>657</v>
      </c>
      <c r="E67" s="540">
        <v>0.6</v>
      </c>
      <c r="F67" s="431">
        <v>-0.02</v>
      </c>
      <c r="G67" s="541">
        <v>2.1999999999999999E-2</v>
      </c>
      <c r="H67" s="431">
        <v>5000.04</v>
      </c>
      <c r="L67" s="683" t="s">
        <v>756</v>
      </c>
      <c r="M67" s="687">
        <v>5000.04</v>
      </c>
    </row>
    <row r="68" spans="2:13">
      <c r="B68" s="489" t="str">
        <f t="shared" si="1"/>
        <v>75M0.4-0.020.022</v>
      </c>
      <c r="C68" s="431">
        <v>75</v>
      </c>
      <c r="D68" s="431" t="s">
        <v>657</v>
      </c>
      <c r="E68" s="540">
        <v>0.4</v>
      </c>
      <c r="F68" s="431">
        <v>-0.02</v>
      </c>
      <c r="G68" s="541">
        <v>2.1999999999999999E-2</v>
      </c>
      <c r="H68" s="431">
        <v>6000</v>
      </c>
      <c r="L68" s="683" t="s">
        <v>757</v>
      </c>
      <c r="M68" s="687">
        <v>5000.04</v>
      </c>
    </row>
    <row r="69" spans="2:13">
      <c r="B69" s="489" t="str">
        <f t="shared" si="1"/>
        <v>76M0.4-0.020.022</v>
      </c>
      <c r="C69" s="431">
        <v>76</v>
      </c>
      <c r="D69" s="431" t="s">
        <v>657</v>
      </c>
      <c r="E69" s="540">
        <v>0.4</v>
      </c>
      <c r="F69" s="431">
        <v>-0.02</v>
      </c>
      <c r="G69" s="541">
        <v>2.1999999999999999E-2</v>
      </c>
      <c r="H69" s="431">
        <v>6000</v>
      </c>
      <c r="L69" s="683" t="s">
        <v>758</v>
      </c>
      <c r="M69" s="687">
        <v>5000.04</v>
      </c>
    </row>
    <row r="70" spans="2:13">
      <c r="B70" s="489" t="str">
        <f t="shared" si="1"/>
        <v>77M0.4-0.020.022</v>
      </c>
      <c r="C70" s="431">
        <v>77</v>
      </c>
      <c r="D70" s="431" t="s">
        <v>657</v>
      </c>
      <c r="E70" s="540">
        <v>0.4</v>
      </c>
      <c r="F70" s="431">
        <v>-0.02</v>
      </c>
      <c r="G70" s="541">
        <v>2.1999999999999999E-2</v>
      </c>
      <c r="H70" s="431">
        <v>6000</v>
      </c>
      <c r="L70" s="683" t="s">
        <v>759</v>
      </c>
      <c r="M70" s="687">
        <v>5000.04</v>
      </c>
    </row>
    <row r="71" spans="2:13">
      <c r="B71" s="489" t="str">
        <f t="shared" si="1"/>
        <v>78M0.4-0.020.022</v>
      </c>
      <c r="C71" s="431">
        <v>78</v>
      </c>
      <c r="D71" s="431" t="s">
        <v>657</v>
      </c>
      <c r="E71" s="540">
        <v>0.4</v>
      </c>
      <c r="F71" s="431">
        <v>-0.02</v>
      </c>
      <c r="G71" s="541">
        <v>2.1999999999999999E-2</v>
      </c>
      <c r="H71" s="431">
        <v>6000</v>
      </c>
      <c r="L71" s="683" t="s">
        <v>760</v>
      </c>
      <c r="M71" s="687">
        <v>5000.04</v>
      </c>
    </row>
    <row r="72" spans="2:13">
      <c r="B72" s="489" t="str">
        <f t="shared" si="1"/>
        <v>79M0.4-0.020.022</v>
      </c>
      <c r="C72" s="431">
        <v>79</v>
      </c>
      <c r="D72" s="431" t="s">
        <v>657</v>
      </c>
      <c r="E72" s="540">
        <v>0.4</v>
      </c>
      <c r="F72" s="431">
        <v>-0.02</v>
      </c>
      <c r="G72" s="541">
        <v>2.1999999999999999E-2</v>
      </c>
      <c r="H72" s="431">
        <v>6000</v>
      </c>
      <c r="L72" s="683" t="s">
        <v>761</v>
      </c>
      <c r="M72" s="687">
        <v>5000.04</v>
      </c>
    </row>
    <row r="73" spans="2:13">
      <c r="B73" s="489" t="str">
        <f t="shared" si="1"/>
        <v>60M0.7-0.020</v>
      </c>
      <c r="C73" s="431">
        <v>60</v>
      </c>
      <c r="D73" s="431" t="s">
        <v>657</v>
      </c>
      <c r="E73" s="540">
        <v>0.7</v>
      </c>
      <c r="F73" s="431">
        <v>-0.02</v>
      </c>
      <c r="G73" s="541">
        <v>0</v>
      </c>
      <c r="H73" s="431">
        <v>4067.16</v>
      </c>
      <c r="L73" s="683" t="s">
        <v>762</v>
      </c>
      <c r="M73" s="687">
        <v>5000.04</v>
      </c>
    </row>
    <row r="74" spans="2:13">
      <c r="B74" s="489" t="str">
        <f t="shared" si="1"/>
        <v>61M0.7-0.020</v>
      </c>
      <c r="C74" s="431">
        <v>61</v>
      </c>
      <c r="D74" s="431" t="s">
        <v>657</v>
      </c>
      <c r="E74" s="540">
        <v>0.7</v>
      </c>
      <c r="F74" s="431">
        <v>-0.02</v>
      </c>
      <c r="G74" s="541">
        <v>0</v>
      </c>
      <c r="H74" s="431">
        <v>4120.2</v>
      </c>
      <c r="L74" s="683" t="s">
        <v>763</v>
      </c>
      <c r="M74" s="687">
        <v>5000.04</v>
      </c>
    </row>
    <row r="75" spans="2:13">
      <c r="B75" s="489" t="str">
        <f t="shared" si="1"/>
        <v>62M0.7-0.020</v>
      </c>
      <c r="C75" s="431">
        <v>62</v>
      </c>
      <c r="D75" s="431" t="s">
        <v>657</v>
      </c>
      <c r="E75" s="540">
        <v>0.7</v>
      </c>
      <c r="F75" s="431">
        <v>-0.02</v>
      </c>
      <c r="G75" s="541">
        <v>0</v>
      </c>
      <c r="H75" s="431">
        <v>4170.72</v>
      </c>
      <c r="L75" s="683" t="s">
        <v>764</v>
      </c>
      <c r="M75" s="687">
        <v>5000.04</v>
      </c>
    </row>
    <row r="76" spans="2:13">
      <c r="B76" s="489" t="str">
        <f t="shared" si="1"/>
        <v>63M0.7-0.020</v>
      </c>
      <c r="C76" s="431">
        <v>63</v>
      </c>
      <c r="D76" s="431" t="s">
        <v>657</v>
      </c>
      <c r="E76" s="540">
        <v>0.7</v>
      </c>
      <c r="F76" s="431">
        <v>-0.02</v>
      </c>
      <c r="G76" s="541">
        <v>0</v>
      </c>
      <c r="H76" s="431">
        <v>4217.3999999999996</v>
      </c>
      <c r="L76" s="683" t="s">
        <v>765</v>
      </c>
      <c r="M76" s="687">
        <v>5000.04</v>
      </c>
    </row>
    <row r="77" spans="2:13">
      <c r="B77" s="489" t="str">
        <f t="shared" ref="B77:B108" si="2">CONCATENATE(C77,D77,E77,F77,G77,)</f>
        <v>64M0.7-0.020</v>
      </c>
      <c r="C77" s="431">
        <v>64</v>
      </c>
      <c r="D77" s="431" t="s">
        <v>657</v>
      </c>
      <c r="E77" s="540">
        <v>0.7</v>
      </c>
      <c r="F77" s="431">
        <v>-0.02</v>
      </c>
      <c r="G77" s="541">
        <v>0</v>
      </c>
      <c r="H77" s="431">
        <v>4258.2</v>
      </c>
      <c r="L77" s="683" t="s">
        <v>766</v>
      </c>
      <c r="M77" s="687">
        <v>5000.04</v>
      </c>
    </row>
    <row r="78" spans="2:13">
      <c r="B78" s="489" t="str">
        <f t="shared" si="2"/>
        <v>65M0.6-0.020</v>
      </c>
      <c r="C78" s="431">
        <v>65</v>
      </c>
      <c r="D78" s="431" t="s">
        <v>657</v>
      </c>
      <c r="E78" s="540">
        <v>0.6</v>
      </c>
      <c r="F78" s="431">
        <v>-0.02</v>
      </c>
      <c r="G78" s="541">
        <v>0</v>
      </c>
      <c r="H78" s="431">
        <v>5000.04</v>
      </c>
      <c r="L78" s="683" t="s">
        <v>767</v>
      </c>
      <c r="M78" s="687">
        <v>5000.04</v>
      </c>
    </row>
    <row r="79" spans="2:13">
      <c r="B79" s="489" t="str">
        <f t="shared" si="2"/>
        <v>66M0.6-0.020</v>
      </c>
      <c r="C79" s="431">
        <v>66</v>
      </c>
      <c r="D79" s="431" t="s">
        <v>657</v>
      </c>
      <c r="E79" s="540">
        <v>0.6</v>
      </c>
      <c r="F79" s="431">
        <v>-0.02</v>
      </c>
      <c r="G79" s="541">
        <v>0</v>
      </c>
      <c r="H79" s="431">
        <v>5000.04</v>
      </c>
      <c r="L79" s="683" t="s">
        <v>768</v>
      </c>
      <c r="M79" s="687">
        <v>5000.04</v>
      </c>
    </row>
    <row r="80" spans="2:13">
      <c r="B80" s="489" t="str">
        <f t="shared" si="2"/>
        <v>67M0.6-0.020</v>
      </c>
      <c r="C80" s="431">
        <v>67</v>
      </c>
      <c r="D80" s="431" t="s">
        <v>657</v>
      </c>
      <c r="E80" s="540">
        <v>0.6</v>
      </c>
      <c r="F80" s="431">
        <v>-0.02</v>
      </c>
      <c r="G80" s="541">
        <v>0</v>
      </c>
      <c r="H80" s="431">
        <v>5000.04</v>
      </c>
      <c r="L80" s="683" t="s">
        <v>769</v>
      </c>
      <c r="M80" s="687">
        <v>5000.04</v>
      </c>
    </row>
    <row r="81" spans="2:13">
      <c r="B81" s="489" t="str">
        <f t="shared" si="2"/>
        <v>68M0.6-0.020</v>
      </c>
      <c r="C81" s="431">
        <v>68</v>
      </c>
      <c r="D81" s="431" t="s">
        <v>657</v>
      </c>
      <c r="E81" s="540">
        <v>0.6</v>
      </c>
      <c r="F81" s="431">
        <v>-0.02</v>
      </c>
      <c r="G81" s="541">
        <v>0</v>
      </c>
      <c r="H81" s="431">
        <v>5000.04</v>
      </c>
      <c r="L81" s="683" t="s">
        <v>770</v>
      </c>
      <c r="M81" s="687">
        <v>5000.04</v>
      </c>
    </row>
    <row r="82" spans="2:13">
      <c r="B82" s="489" t="str">
        <f t="shared" si="2"/>
        <v>69M0.6-0.020</v>
      </c>
      <c r="C82" s="431">
        <v>69</v>
      </c>
      <c r="D82" s="431" t="s">
        <v>657</v>
      </c>
      <c r="E82" s="540">
        <v>0.6</v>
      </c>
      <c r="F82" s="431">
        <v>-0.02</v>
      </c>
      <c r="G82" s="541">
        <v>0</v>
      </c>
      <c r="H82" s="431">
        <v>5000.04</v>
      </c>
      <c r="L82" s="683" t="s">
        <v>771</v>
      </c>
      <c r="M82" s="687">
        <v>5000.04</v>
      </c>
    </row>
    <row r="83" spans="2:13">
      <c r="B83" s="489" t="str">
        <f t="shared" si="2"/>
        <v>70M0.6-0.020</v>
      </c>
      <c r="C83" s="431">
        <v>70</v>
      </c>
      <c r="D83" s="431" t="s">
        <v>657</v>
      </c>
      <c r="E83" s="540">
        <v>0.6</v>
      </c>
      <c r="F83" s="431">
        <v>-0.02</v>
      </c>
      <c r="G83" s="541">
        <v>0</v>
      </c>
      <c r="H83" s="431">
        <v>5000.04</v>
      </c>
      <c r="L83" s="683" t="s">
        <v>772</v>
      </c>
      <c r="M83" s="687">
        <v>5000.04</v>
      </c>
    </row>
    <row r="84" spans="2:13">
      <c r="B84" s="489" t="str">
        <f t="shared" si="2"/>
        <v>71M0.6-0.020</v>
      </c>
      <c r="C84" s="431">
        <v>71</v>
      </c>
      <c r="D84" s="431" t="s">
        <v>657</v>
      </c>
      <c r="E84" s="540">
        <v>0.6</v>
      </c>
      <c r="F84" s="431">
        <v>-0.02</v>
      </c>
      <c r="G84" s="541">
        <v>0</v>
      </c>
      <c r="H84" s="431">
        <v>5000.04</v>
      </c>
      <c r="L84" s="683" t="s">
        <v>773</v>
      </c>
      <c r="M84" s="687">
        <v>5000.04</v>
      </c>
    </row>
    <row r="85" spans="2:13">
      <c r="B85" s="489" t="str">
        <f t="shared" si="2"/>
        <v>72M0.6-0.020</v>
      </c>
      <c r="C85" s="431">
        <v>72</v>
      </c>
      <c r="D85" s="431" t="s">
        <v>657</v>
      </c>
      <c r="E85" s="540">
        <v>0.6</v>
      </c>
      <c r="F85" s="431">
        <v>-0.02</v>
      </c>
      <c r="G85" s="541">
        <v>0</v>
      </c>
      <c r="H85" s="431">
        <v>5000.04</v>
      </c>
      <c r="L85" s="683" t="s">
        <v>774</v>
      </c>
      <c r="M85" s="687">
        <v>5000.04</v>
      </c>
    </row>
    <row r="86" spans="2:13">
      <c r="B86" s="489" t="str">
        <f t="shared" si="2"/>
        <v>73M0.6-0.020</v>
      </c>
      <c r="C86" s="431">
        <v>73</v>
      </c>
      <c r="D86" s="431" t="s">
        <v>657</v>
      </c>
      <c r="E86" s="540">
        <v>0.6</v>
      </c>
      <c r="F86" s="431">
        <v>-0.02</v>
      </c>
      <c r="G86" s="541">
        <v>0</v>
      </c>
      <c r="H86" s="431">
        <v>5000.04</v>
      </c>
      <c r="L86" s="683" t="s">
        <v>775</v>
      </c>
      <c r="M86" s="687">
        <v>5000.04</v>
      </c>
    </row>
    <row r="87" spans="2:13">
      <c r="B87" s="489" t="str">
        <f t="shared" si="2"/>
        <v>74M0.6-0.020</v>
      </c>
      <c r="C87" s="431">
        <v>74</v>
      </c>
      <c r="D87" s="431" t="s">
        <v>657</v>
      </c>
      <c r="E87" s="540">
        <v>0.6</v>
      </c>
      <c r="F87" s="431">
        <v>-0.02</v>
      </c>
      <c r="G87" s="541">
        <v>0</v>
      </c>
      <c r="H87" s="431">
        <v>5000.04</v>
      </c>
      <c r="L87" s="683" t="s">
        <v>776</v>
      </c>
      <c r="M87" s="687">
        <v>5000.04</v>
      </c>
    </row>
    <row r="88" spans="2:13">
      <c r="B88" s="489" t="str">
        <f t="shared" si="2"/>
        <v>75M0.4-0.020</v>
      </c>
      <c r="C88" s="431">
        <v>75</v>
      </c>
      <c r="D88" s="431" t="s">
        <v>657</v>
      </c>
      <c r="E88" s="540">
        <v>0.4</v>
      </c>
      <c r="F88" s="431">
        <v>-0.02</v>
      </c>
      <c r="G88" s="541">
        <v>0</v>
      </c>
      <c r="H88" s="431">
        <v>6000</v>
      </c>
      <c r="L88" s="683" t="s">
        <v>777</v>
      </c>
      <c r="M88" s="687">
        <v>5000.04</v>
      </c>
    </row>
    <row r="89" spans="2:13">
      <c r="B89" s="489" t="str">
        <f t="shared" si="2"/>
        <v>76M0.4-0.020</v>
      </c>
      <c r="C89" s="431">
        <v>76</v>
      </c>
      <c r="D89" s="431" t="s">
        <v>657</v>
      </c>
      <c r="E89" s="540">
        <v>0.4</v>
      </c>
      <c r="F89" s="431">
        <v>-0.02</v>
      </c>
      <c r="G89" s="541">
        <v>0</v>
      </c>
      <c r="H89" s="431">
        <v>6000</v>
      </c>
      <c r="L89" s="683" t="s">
        <v>778</v>
      </c>
      <c r="M89" s="687">
        <v>5000.04</v>
      </c>
    </row>
    <row r="90" spans="2:13">
      <c r="B90" s="489" t="str">
        <f t="shared" si="2"/>
        <v>77M0.4-0.020</v>
      </c>
      <c r="C90" s="431">
        <v>77</v>
      </c>
      <c r="D90" s="431" t="s">
        <v>657</v>
      </c>
      <c r="E90" s="540">
        <v>0.4</v>
      </c>
      <c r="F90" s="431">
        <v>-0.02</v>
      </c>
      <c r="G90" s="541">
        <v>0</v>
      </c>
      <c r="H90" s="431">
        <v>6012.72</v>
      </c>
      <c r="L90" s="683" t="s">
        <v>779</v>
      </c>
      <c r="M90" s="687">
        <v>5000.04</v>
      </c>
    </row>
    <row r="91" spans="2:13">
      <c r="B91" s="489" t="str">
        <f t="shared" si="2"/>
        <v>78M0.4-0.020</v>
      </c>
      <c r="C91" s="431">
        <v>78</v>
      </c>
      <c r="D91" s="431" t="s">
        <v>657</v>
      </c>
      <c r="E91" s="540">
        <v>0.4</v>
      </c>
      <c r="F91" s="431">
        <v>-0.02</v>
      </c>
      <c r="G91" s="541">
        <v>0</v>
      </c>
      <c r="H91" s="431">
        <v>6059.6399999999994</v>
      </c>
      <c r="L91" s="683" t="s">
        <v>780</v>
      </c>
      <c r="M91" s="687">
        <v>5000.04</v>
      </c>
    </row>
    <row r="92" spans="2:13">
      <c r="B92" s="489" t="str">
        <f t="shared" si="2"/>
        <v>79M0.4-0.020</v>
      </c>
      <c r="C92" s="431">
        <v>79</v>
      </c>
      <c r="D92" s="431" t="s">
        <v>657</v>
      </c>
      <c r="E92" s="540">
        <v>0.4</v>
      </c>
      <c r="F92" s="431">
        <v>-0.02</v>
      </c>
      <c r="G92" s="541">
        <v>0</v>
      </c>
      <c r="H92" s="431">
        <v>6101.4</v>
      </c>
      <c r="L92" s="683" t="s">
        <v>781</v>
      </c>
      <c r="M92" s="687">
        <v>5000.04</v>
      </c>
    </row>
    <row r="93" spans="2:13">
      <c r="B93" s="489" t="str">
        <f t="shared" si="2"/>
        <v>60F0.8500.022</v>
      </c>
      <c r="C93" s="431">
        <v>60</v>
      </c>
      <c r="D93" s="431" t="s">
        <v>688</v>
      </c>
      <c r="E93" s="540">
        <v>0.85</v>
      </c>
      <c r="F93" s="431">
        <v>0</v>
      </c>
      <c r="G93" s="541">
        <v>2.1999999999999999E-2</v>
      </c>
      <c r="H93" s="431">
        <v>4000.08</v>
      </c>
      <c r="L93" s="683" t="s">
        <v>782</v>
      </c>
      <c r="M93" s="687">
        <v>5000.04</v>
      </c>
    </row>
    <row r="94" spans="2:13">
      <c r="B94" s="489" t="str">
        <f t="shared" si="2"/>
        <v>61F0.8500.022</v>
      </c>
      <c r="C94" s="431">
        <v>61</v>
      </c>
      <c r="D94" s="431" t="s">
        <v>688</v>
      </c>
      <c r="E94" s="540">
        <v>0.85</v>
      </c>
      <c r="F94" s="431">
        <v>0</v>
      </c>
      <c r="G94" s="541">
        <v>2.1999999999999999E-2</v>
      </c>
      <c r="H94" s="431">
        <v>4000.08</v>
      </c>
      <c r="L94" s="683" t="s">
        <v>783</v>
      </c>
      <c r="M94" s="687">
        <v>5000.04</v>
      </c>
    </row>
    <row r="95" spans="2:13">
      <c r="B95" s="489" t="str">
        <f t="shared" si="2"/>
        <v>62F0.8500.022</v>
      </c>
      <c r="C95" s="431">
        <v>62</v>
      </c>
      <c r="D95" s="431" t="s">
        <v>688</v>
      </c>
      <c r="E95" s="540">
        <v>0.85</v>
      </c>
      <c r="F95" s="431">
        <v>0</v>
      </c>
      <c r="G95" s="541">
        <v>2.1999999999999999E-2</v>
      </c>
      <c r="H95" s="431">
        <v>4000.08</v>
      </c>
      <c r="L95" s="683" t="s">
        <v>784</v>
      </c>
      <c r="M95" s="687">
        <v>5000.04</v>
      </c>
    </row>
    <row r="96" spans="2:13">
      <c r="B96" s="489" t="str">
        <f t="shared" si="2"/>
        <v>63F0.8500.022</v>
      </c>
      <c r="C96" s="431">
        <v>63</v>
      </c>
      <c r="D96" s="431" t="s">
        <v>688</v>
      </c>
      <c r="E96" s="540">
        <v>0.85</v>
      </c>
      <c r="F96" s="431">
        <v>0</v>
      </c>
      <c r="G96" s="541">
        <v>2.1999999999999999E-2</v>
      </c>
      <c r="H96" s="431">
        <v>4000.08</v>
      </c>
      <c r="L96" s="683" t="s">
        <v>785</v>
      </c>
      <c r="M96" s="687">
        <v>5000.04</v>
      </c>
    </row>
    <row r="97" spans="2:13">
      <c r="B97" s="489" t="str">
        <f t="shared" si="2"/>
        <v>64F0.8500.022</v>
      </c>
      <c r="C97" s="431">
        <v>64</v>
      </c>
      <c r="D97" s="431" t="s">
        <v>688</v>
      </c>
      <c r="E97" s="540">
        <v>0.85</v>
      </c>
      <c r="F97" s="431">
        <v>0</v>
      </c>
      <c r="G97" s="541">
        <v>2.1999999999999999E-2</v>
      </c>
      <c r="H97" s="431">
        <v>4000.08</v>
      </c>
      <c r="L97" s="683" t="s">
        <v>786</v>
      </c>
      <c r="M97" s="687">
        <v>5000.04</v>
      </c>
    </row>
    <row r="98" spans="2:13">
      <c r="B98" s="489" t="str">
        <f t="shared" si="2"/>
        <v>65F0.7500.022</v>
      </c>
      <c r="C98" s="431">
        <v>65</v>
      </c>
      <c r="D98" s="431" t="s">
        <v>688</v>
      </c>
      <c r="E98" s="540">
        <v>0.75</v>
      </c>
      <c r="F98" s="431">
        <v>0</v>
      </c>
      <c r="G98" s="541">
        <v>2.1999999999999999E-2</v>
      </c>
      <c r="H98" s="431">
        <v>5000.04</v>
      </c>
      <c r="L98" s="683" t="s">
        <v>787</v>
      </c>
      <c r="M98" s="687">
        <v>5000.04</v>
      </c>
    </row>
    <row r="99" spans="2:13">
      <c r="B99" s="489" t="str">
        <f t="shared" si="2"/>
        <v>66F0.7500.022</v>
      </c>
      <c r="C99" s="431">
        <v>66</v>
      </c>
      <c r="D99" s="431" t="s">
        <v>688</v>
      </c>
      <c r="E99" s="540">
        <v>0.75</v>
      </c>
      <c r="F99" s="431">
        <v>0</v>
      </c>
      <c r="G99" s="541">
        <v>2.1999999999999999E-2</v>
      </c>
      <c r="H99" s="431">
        <v>5000.04</v>
      </c>
      <c r="L99" s="683" t="s">
        <v>788</v>
      </c>
      <c r="M99" s="687">
        <v>5000.04</v>
      </c>
    </row>
    <row r="100" spans="2:13">
      <c r="B100" s="489" t="str">
        <f t="shared" si="2"/>
        <v>67F0.7500.022</v>
      </c>
      <c r="C100" s="431">
        <v>67</v>
      </c>
      <c r="D100" s="431" t="s">
        <v>688</v>
      </c>
      <c r="E100" s="540">
        <v>0.75</v>
      </c>
      <c r="F100" s="431">
        <v>0</v>
      </c>
      <c r="G100" s="541">
        <v>2.1999999999999999E-2</v>
      </c>
      <c r="H100" s="431">
        <v>5000.04</v>
      </c>
      <c r="L100" s="683" t="s">
        <v>789</v>
      </c>
      <c r="M100" s="687">
        <v>5000.04</v>
      </c>
    </row>
    <row r="101" spans="2:13">
      <c r="B101" s="489" t="str">
        <f t="shared" si="2"/>
        <v>68F0.7500.022</v>
      </c>
      <c r="C101" s="431">
        <v>68</v>
      </c>
      <c r="D101" s="431" t="s">
        <v>688</v>
      </c>
      <c r="E101" s="540">
        <v>0.75</v>
      </c>
      <c r="F101" s="431">
        <v>0</v>
      </c>
      <c r="G101" s="541">
        <v>2.1999999999999999E-2</v>
      </c>
      <c r="H101" s="431">
        <v>5000.04</v>
      </c>
      <c r="L101" s="683" t="s">
        <v>790</v>
      </c>
      <c r="M101" s="687">
        <v>5000.04</v>
      </c>
    </row>
    <row r="102" spans="2:13">
      <c r="B102" s="489" t="str">
        <f t="shared" si="2"/>
        <v>69F0.7500.022</v>
      </c>
      <c r="C102" s="431">
        <v>69</v>
      </c>
      <c r="D102" s="431" t="s">
        <v>688</v>
      </c>
      <c r="E102" s="540">
        <v>0.75</v>
      </c>
      <c r="F102" s="431">
        <v>0</v>
      </c>
      <c r="G102" s="541">
        <v>2.1999999999999999E-2</v>
      </c>
      <c r="H102" s="431">
        <v>5000.04</v>
      </c>
      <c r="L102" s="683" t="s">
        <v>791</v>
      </c>
      <c r="M102" s="687">
        <v>5000.04</v>
      </c>
    </row>
    <row r="103" spans="2:13">
      <c r="B103" s="489" t="str">
        <f t="shared" si="2"/>
        <v>70F0.7500.022</v>
      </c>
      <c r="C103" s="431">
        <v>70</v>
      </c>
      <c r="D103" s="431" t="s">
        <v>688</v>
      </c>
      <c r="E103" s="540">
        <v>0.75</v>
      </c>
      <c r="F103" s="431">
        <v>0</v>
      </c>
      <c r="G103" s="541">
        <v>2.1999999999999999E-2</v>
      </c>
      <c r="H103" s="431">
        <v>5000.04</v>
      </c>
      <c r="L103" s="683" t="s">
        <v>792</v>
      </c>
      <c r="M103" s="687">
        <v>5000.04</v>
      </c>
    </row>
    <row r="104" spans="2:13">
      <c r="B104" s="489" t="str">
        <f t="shared" si="2"/>
        <v>71F0.7500.022</v>
      </c>
      <c r="C104" s="431">
        <v>71</v>
      </c>
      <c r="D104" s="431" t="s">
        <v>688</v>
      </c>
      <c r="E104" s="540">
        <v>0.75</v>
      </c>
      <c r="F104" s="431">
        <v>0</v>
      </c>
      <c r="G104" s="541">
        <v>2.1999999999999999E-2</v>
      </c>
      <c r="H104" s="431">
        <v>5000.04</v>
      </c>
      <c r="L104" s="683" t="s">
        <v>793</v>
      </c>
      <c r="M104" s="687">
        <v>5000.04</v>
      </c>
    </row>
    <row r="105" spans="2:13">
      <c r="B105" s="489" t="str">
        <f t="shared" si="2"/>
        <v>72F0.7500.022</v>
      </c>
      <c r="C105" s="431">
        <v>72</v>
      </c>
      <c r="D105" s="431" t="s">
        <v>688</v>
      </c>
      <c r="E105" s="540">
        <v>0.75</v>
      </c>
      <c r="F105" s="431">
        <v>0</v>
      </c>
      <c r="G105" s="541">
        <v>2.1999999999999999E-2</v>
      </c>
      <c r="H105" s="431">
        <v>5000.04</v>
      </c>
      <c r="L105" s="683" t="s">
        <v>794</v>
      </c>
      <c r="M105" s="687">
        <v>5000.04</v>
      </c>
    </row>
    <row r="106" spans="2:13">
      <c r="B106" s="489" t="str">
        <f t="shared" si="2"/>
        <v>73F0.7500.022</v>
      </c>
      <c r="C106" s="431">
        <v>73</v>
      </c>
      <c r="D106" s="431" t="s">
        <v>688</v>
      </c>
      <c r="E106" s="540">
        <v>0.75</v>
      </c>
      <c r="F106" s="431">
        <v>0</v>
      </c>
      <c r="G106" s="541">
        <v>2.1999999999999999E-2</v>
      </c>
      <c r="H106" s="431">
        <v>5000.04</v>
      </c>
      <c r="L106" s="683" t="s">
        <v>795</v>
      </c>
      <c r="M106" s="687">
        <v>5000.04</v>
      </c>
    </row>
    <row r="107" spans="2:13">
      <c r="B107" s="489" t="str">
        <f t="shared" si="2"/>
        <v>74F0.7500.022</v>
      </c>
      <c r="C107" s="431">
        <v>74</v>
      </c>
      <c r="D107" s="431" t="s">
        <v>688</v>
      </c>
      <c r="E107" s="540">
        <v>0.75</v>
      </c>
      <c r="F107" s="431">
        <v>0</v>
      </c>
      <c r="G107" s="541">
        <v>2.1999999999999999E-2</v>
      </c>
      <c r="H107" s="431">
        <v>5000.04</v>
      </c>
      <c r="L107" s="683" t="s">
        <v>796</v>
      </c>
      <c r="M107" s="687">
        <v>5000.04</v>
      </c>
    </row>
    <row r="108" spans="2:13">
      <c r="B108" s="489" t="str">
        <f t="shared" si="2"/>
        <v>75F0.5500.022</v>
      </c>
      <c r="C108" s="431">
        <v>75</v>
      </c>
      <c r="D108" s="431" t="s">
        <v>688</v>
      </c>
      <c r="E108" s="540">
        <v>0.55000000000000004</v>
      </c>
      <c r="F108" s="431">
        <v>0</v>
      </c>
      <c r="G108" s="541">
        <v>2.1999999999999999E-2</v>
      </c>
      <c r="H108" s="431">
        <v>6000</v>
      </c>
      <c r="L108" s="683" t="s">
        <v>797</v>
      </c>
      <c r="M108" s="687">
        <v>5000.04</v>
      </c>
    </row>
    <row r="109" spans="2:13">
      <c r="B109" s="489" t="str">
        <f t="shared" ref="B109:B140" si="3">CONCATENATE(C109,D109,E109,F109,G109,)</f>
        <v>76F0.5500.022</v>
      </c>
      <c r="C109" s="431">
        <v>76</v>
      </c>
      <c r="D109" s="431" t="s">
        <v>688</v>
      </c>
      <c r="E109" s="540">
        <v>0.55000000000000004</v>
      </c>
      <c r="F109" s="431">
        <v>0</v>
      </c>
      <c r="G109" s="541">
        <v>2.1999999999999999E-2</v>
      </c>
      <c r="H109" s="431">
        <v>6000</v>
      </c>
      <c r="L109" s="683" t="s">
        <v>798</v>
      </c>
      <c r="M109" s="687">
        <v>5000.04</v>
      </c>
    </row>
    <row r="110" spans="2:13">
      <c r="B110" s="489" t="str">
        <f t="shared" si="3"/>
        <v>77F0.5500.022</v>
      </c>
      <c r="C110" s="431">
        <v>77</v>
      </c>
      <c r="D110" s="431" t="s">
        <v>688</v>
      </c>
      <c r="E110" s="540">
        <v>0.55000000000000004</v>
      </c>
      <c r="F110" s="431">
        <v>0</v>
      </c>
      <c r="G110" s="541">
        <v>2.1999999999999999E-2</v>
      </c>
      <c r="H110" s="431">
        <v>6000</v>
      </c>
      <c r="L110" s="683" t="s">
        <v>799</v>
      </c>
      <c r="M110" s="687">
        <v>5000.04</v>
      </c>
    </row>
    <row r="111" spans="2:13">
      <c r="B111" s="489" t="str">
        <f t="shared" si="3"/>
        <v>78F0.5500.022</v>
      </c>
      <c r="C111" s="431">
        <v>78</v>
      </c>
      <c r="D111" s="431" t="s">
        <v>688</v>
      </c>
      <c r="E111" s="540">
        <v>0.55000000000000004</v>
      </c>
      <c r="F111" s="431">
        <v>0</v>
      </c>
      <c r="G111" s="541">
        <v>2.1999999999999999E-2</v>
      </c>
      <c r="H111" s="431">
        <v>6000</v>
      </c>
      <c r="L111" s="683" t="s">
        <v>800</v>
      </c>
      <c r="M111" s="687">
        <v>5000.04</v>
      </c>
    </row>
    <row r="112" spans="2:13">
      <c r="B112" s="489" t="str">
        <f t="shared" si="3"/>
        <v>79F0.5500.022</v>
      </c>
      <c r="C112" s="431">
        <v>79</v>
      </c>
      <c r="D112" s="431" t="s">
        <v>688</v>
      </c>
      <c r="E112" s="540">
        <v>0.55000000000000004</v>
      </c>
      <c r="F112" s="431">
        <v>0</v>
      </c>
      <c r="G112" s="541">
        <v>2.1999999999999999E-2</v>
      </c>
      <c r="H112" s="431">
        <v>6000</v>
      </c>
      <c r="L112" s="683" t="s">
        <v>801</v>
      </c>
      <c r="M112" s="687">
        <v>5000.04</v>
      </c>
    </row>
    <row r="113" spans="2:13">
      <c r="B113" s="489" t="str">
        <f t="shared" si="3"/>
        <v>60F0.8500</v>
      </c>
      <c r="C113" s="431">
        <v>60</v>
      </c>
      <c r="D113" s="431" t="s">
        <v>688</v>
      </c>
      <c r="E113" s="540">
        <v>0.85</v>
      </c>
      <c r="F113" s="431">
        <v>0</v>
      </c>
      <c r="G113" s="541">
        <v>0</v>
      </c>
      <c r="H113" s="431">
        <v>4000.08</v>
      </c>
      <c r="L113" s="683" t="s">
        <v>802</v>
      </c>
      <c r="M113" s="687">
        <v>5000.04</v>
      </c>
    </row>
    <row r="114" spans="2:13">
      <c r="B114" s="489" t="str">
        <f t="shared" si="3"/>
        <v>61F0.8500</v>
      </c>
      <c r="C114" s="431">
        <v>61</v>
      </c>
      <c r="D114" s="431" t="s">
        <v>688</v>
      </c>
      <c r="E114" s="540">
        <v>0.85</v>
      </c>
      <c r="F114" s="431">
        <v>0</v>
      </c>
      <c r="G114" s="541">
        <v>0</v>
      </c>
      <c r="H114" s="431">
        <v>4000.08</v>
      </c>
      <c r="L114" s="683" t="s">
        <v>803</v>
      </c>
      <c r="M114" s="687">
        <v>5000.04</v>
      </c>
    </row>
    <row r="115" spans="2:13">
      <c r="B115" s="489" t="str">
        <f t="shared" si="3"/>
        <v>62F0.8500</v>
      </c>
      <c r="C115" s="431">
        <v>62</v>
      </c>
      <c r="D115" s="431" t="s">
        <v>688</v>
      </c>
      <c r="E115" s="540">
        <v>0.85</v>
      </c>
      <c r="F115" s="431">
        <v>0</v>
      </c>
      <c r="G115" s="541">
        <v>0</v>
      </c>
      <c r="H115" s="431">
        <v>4000.08</v>
      </c>
      <c r="L115" s="683" t="s">
        <v>804</v>
      </c>
      <c r="M115" s="687">
        <v>5000.04</v>
      </c>
    </row>
    <row r="116" spans="2:13">
      <c r="B116" s="489" t="str">
        <f t="shared" si="3"/>
        <v>63F0.8500</v>
      </c>
      <c r="C116" s="431">
        <v>63</v>
      </c>
      <c r="D116" s="431" t="s">
        <v>688</v>
      </c>
      <c r="E116" s="540">
        <v>0.85</v>
      </c>
      <c r="F116" s="431">
        <v>0</v>
      </c>
      <c r="G116" s="541">
        <v>0</v>
      </c>
      <c r="H116" s="431">
        <v>4000.08</v>
      </c>
      <c r="L116" s="683" t="s">
        <v>805</v>
      </c>
      <c r="M116" s="687">
        <v>5000.04</v>
      </c>
    </row>
    <row r="117" spans="2:13">
      <c r="B117" s="489" t="str">
        <f t="shared" si="3"/>
        <v>64F0.8500</v>
      </c>
      <c r="C117" s="431">
        <v>64</v>
      </c>
      <c r="D117" s="431" t="s">
        <v>688</v>
      </c>
      <c r="E117" s="540">
        <v>0.85</v>
      </c>
      <c r="F117" s="431">
        <v>0</v>
      </c>
      <c r="G117" s="541">
        <v>0</v>
      </c>
      <c r="H117" s="431">
        <v>4000.08</v>
      </c>
      <c r="L117" s="683" t="s">
        <v>806</v>
      </c>
      <c r="M117" s="687">
        <v>5000.04</v>
      </c>
    </row>
    <row r="118" spans="2:13">
      <c r="B118" s="489" t="str">
        <f t="shared" si="3"/>
        <v>65F0.7500</v>
      </c>
      <c r="C118" s="431">
        <v>65</v>
      </c>
      <c r="D118" s="431" t="s">
        <v>688</v>
      </c>
      <c r="E118" s="540">
        <v>0.75</v>
      </c>
      <c r="F118" s="431">
        <v>0</v>
      </c>
      <c r="G118" s="541">
        <v>0</v>
      </c>
      <c r="H118" s="431">
        <v>5000.04</v>
      </c>
      <c r="L118" s="683" t="s">
        <v>807</v>
      </c>
      <c r="M118" s="687">
        <v>5000.04</v>
      </c>
    </row>
    <row r="119" spans="2:13">
      <c r="B119" s="489" t="str">
        <f t="shared" si="3"/>
        <v>66F0.7500</v>
      </c>
      <c r="C119" s="431">
        <v>66</v>
      </c>
      <c r="D119" s="431" t="s">
        <v>688</v>
      </c>
      <c r="E119" s="540">
        <v>0.75</v>
      </c>
      <c r="F119" s="431">
        <v>0</v>
      </c>
      <c r="G119" s="541">
        <v>0</v>
      </c>
      <c r="H119" s="431">
        <v>5000.04</v>
      </c>
      <c r="L119" s="683" t="s">
        <v>808</v>
      </c>
      <c r="M119" s="687">
        <v>5000.04</v>
      </c>
    </row>
    <row r="120" spans="2:13">
      <c r="B120" s="489" t="str">
        <f t="shared" si="3"/>
        <v>67F0.7500</v>
      </c>
      <c r="C120" s="431">
        <v>67</v>
      </c>
      <c r="D120" s="431" t="s">
        <v>688</v>
      </c>
      <c r="E120" s="540">
        <v>0.75</v>
      </c>
      <c r="F120" s="431">
        <v>0</v>
      </c>
      <c r="G120" s="541">
        <v>0</v>
      </c>
      <c r="H120" s="431">
        <v>5000.04</v>
      </c>
      <c r="L120" s="683" t="s">
        <v>809</v>
      </c>
      <c r="M120" s="687">
        <v>5000.04</v>
      </c>
    </row>
    <row r="121" spans="2:13">
      <c r="B121" s="489" t="str">
        <f t="shared" si="3"/>
        <v>68F0.7500</v>
      </c>
      <c r="C121" s="431">
        <v>68</v>
      </c>
      <c r="D121" s="431" t="s">
        <v>688</v>
      </c>
      <c r="E121" s="540">
        <v>0.75</v>
      </c>
      <c r="F121" s="431">
        <v>0</v>
      </c>
      <c r="G121" s="541">
        <v>0</v>
      </c>
      <c r="H121" s="431">
        <v>5000.04</v>
      </c>
      <c r="L121" s="683" t="s">
        <v>810</v>
      </c>
      <c r="M121" s="687">
        <v>5000.04</v>
      </c>
    </row>
    <row r="122" spans="2:13">
      <c r="B122" s="489" t="str">
        <f t="shared" si="3"/>
        <v>69F0.7500</v>
      </c>
      <c r="C122" s="431">
        <v>69</v>
      </c>
      <c r="D122" s="431" t="s">
        <v>688</v>
      </c>
      <c r="E122" s="540">
        <v>0.75</v>
      </c>
      <c r="F122" s="431">
        <v>0</v>
      </c>
      <c r="G122" s="541">
        <v>0</v>
      </c>
      <c r="H122" s="431">
        <v>5000.04</v>
      </c>
      <c r="L122" s="683" t="s">
        <v>811</v>
      </c>
      <c r="M122" s="687">
        <v>5000.04</v>
      </c>
    </row>
    <row r="123" spans="2:13">
      <c r="B123" s="489" t="str">
        <f t="shared" si="3"/>
        <v>70F0.7500</v>
      </c>
      <c r="C123" s="431">
        <v>70</v>
      </c>
      <c r="D123" s="431" t="s">
        <v>688</v>
      </c>
      <c r="E123" s="540">
        <v>0.75</v>
      </c>
      <c r="F123" s="431">
        <v>0</v>
      </c>
      <c r="G123" s="541">
        <v>0</v>
      </c>
      <c r="H123" s="431">
        <v>5000.04</v>
      </c>
      <c r="L123" s="683" t="s">
        <v>812</v>
      </c>
      <c r="M123" s="687">
        <v>5000.04</v>
      </c>
    </row>
    <row r="124" spans="2:13">
      <c r="B124" s="489" t="str">
        <f t="shared" si="3"/>
        <v>71F0.7500</v>
      </c>
      <c r="C124" s="431">
        <v>71</v>
      </c>
      <c r="D124" s="431" t="s">
        <v>688</v>
      </c>
      <c r="E124" s="540">
        <v>0.75</v>
      </c>
      <c r="F124" s="431">
        <v>0</v>
      </c>
      <c r="G124" s="541">
        <v>0</v>
      </c>
      <c r="H124" s="431">
        <v>5000.04</v>
      </c>
      <c r="L124" s="683" t="s">
        <v>813</v>
      </c>
      <c r="M124" s="687">
        <v>5000.04</v>
      </c>
    </row>
    <row r="125" spans="2:13">
      <c r="B125" s="489" t="str">
        <f t="shared" si="3"/>
        <v>72F0.7500</v>
      </c>
      <c r="C125" s="431">
        <v>72</v>
      </c>
      <c r="D125" s="431" t="s">
        <v>688</v>
      </c>
      <c r="E125" s="540">
        <v>0.75</v>
      </c>
      <c r="F125" s="431">
        <v>0</v>
      </c>
      <c r="G125" s="541">
        <v>0</v>
      </c>
      <c r="H125" s="431">
        <v>5000.04</v>
      </c>
      <c r="L125" s="683" t="s">
        <v>814</v>
      </c>
      <c r="M125" s="687">
        <v>5000.04</v>
      </c>
    </row>
    <row r="126" spans="2:13">
      <c r="B126" s="489" t="str">
        <f t="shared" si="3"/>
        <v>73F0.7500</v>
      </c>
      <c r="C126" s="431">
        <v>73</v>
      </c>
      <c r="D126" s="431" t="s">
        <v>688</v>
      </c>
      <c r="E126" s="540">
        <v>0.75</v>
      </c>
      <c r="F126" s="431">
        <v>0</v>
      </c>
      <c r="G126" s="541">
        <v>0</v>
      </c>
      <c r="H126" s="431">
        <v>5000.04</v>
      </c>
      <c r="L126" s="683" t="s">
        <v>815</v>
      </c>
      <c r="M126" s="687">
        <v>5000.04</v>
      </c>
    </row>
    <row r="127" spans="2:13">
      <c r="B127" s="489" t="str">
        <f t="shared" si="3"/>
        <v>74F0.7500</v>
      </c>
      <c r="C127" s="431">
        <v>74</v>
      </c>
      <c r="D127" s="431" t="s">
        <v>688</v>
      </c>
      <c r="E127" s="540">
        <v>0.75</v>
      </c>
      <c r="F127" s="431">
        <v>0</v>
      </c>
      <c r="G127" s="541">
        <v>0</v>
      </c>
      <c r="H127" s="431">
        <v>5000.04</v>
      </c>
      <c r="L127" s="683" t="s">
        <v>816</v>
      </c>
      <c r="M127" s="687">
        <v>5000.04</v>
      </c>
    </row>
    <row r="128" spans="2:13">
      <c r="B128" s="489" t="str">
        <f t="shared" si="3"/>
        <v>75F0.5500</v>
      </c>
      <c r="C128" s="431">
        <v>75</v>
      </c>
      <c r="D128" s="431" t="s">
        <v>688</v>
      </c>
      <c r="E128" s="540">
        <v>0.55000000000000004</v>
      </c>
      <c r="F128" s="431">
        <v>0</v>
      </c>
      <c r="G128" s="541">
        <v>0</v>
      </c>
      <c r="H128" s="431">
        <v>6000</v>
      </c>
      <c r="L128" s="683" t="s">
        <v>817</v>
      </c>
      <c r="M128" s="687">
        <v>5000.04</v>
      </c>
    </row>
    <row r="129" spans="2:13">
      <c r="B129" s="489" t="str">
        <f t="shared" si="3"/>
        <v>76F0.5500</v>
      </c>
      <c r="C129" s="431">
        <v>76</v>
      </c>
      <c r="D129" s="431" t="s">
        <v>688</v>
      </c>
      <c r="E129" s="540">
        <v>0.55000000000000004</v>
      </c>
      <c r="F129" s="431">
        <v>0</v>
      </c>
      <c r="G129" s="541">
        <v>0</v>
      </c>
      <c r="H129" s="431">
        <v>6000</v>
      </c>
      <c r="L129" s="683" t="s">
        <v>818</v>
      </c>
      <c r="M129" s="687">
        <v>5000.04</v>
      </c>
    </row>
    <row r="130" spans="2:13">
      <c r="B130" s="489" t="str">
        <f t="shared" si="3"/>
        <v>77F0.5500</v>
      </c>
      <c r="C130" s="431">
        <v>77</v>
      </c>
      <c r="D130" s="431" t="s">
        <v>688</v>
      </c>
      <c r="E130" s="540">
        <v>0.55000000000000004</v>
      </c>
      <c r="F130" s="431">
        <v>0</v>
      </c>
      <c r="G130" s="541">
        <v>0</v>
      </c>
      <c r="H130" s="431">
        <v>6000</v>
      </c>
      <c r="L130" s="683" t="s">
        <v>819</v>
      </c>
      <c r="M130" s="687">
        <v>5000.04</v>
      </c>
    </row>
    <row r="131" spans="2:13">
      <c r="B131" s="489" t="str">
        <f t="shared" si="3"/>
        <v>78F0.5500</v>
      </c>
      <c r="C131" s="431">
        <v>78</v>
      </c>
      <c r="D131" s="431" t="s">
        <v>688</v>
      </c>
      <c r="E131" s="540">
        <v>0.55000000000000004</v>
      </c>
      <c r="F131" s="431">
        <v>0</v>
      </c>
      <c r="G131" s="541">
        <v>0</v>
      </c>
      <c r="H131" s="431">
        <v>6000</v>
      </c>
      <c r="L131" s="683" t="s">
        <v>820</v>
      </c>
      <c r="M131" s="687">
        <v>5000.04</v>
      </c>
    </row>
    <row r="132" spans="2:13">
      <c r="B132" s="489" t="str">
        <f t="shared" si="3"/>
        <v>79F0.5500</v>
      </c>
      <c r="C132" s="431">
        <v>79</v>
      </c>
      <c r="D132" s="431" t="s">
        <v>688</v>
      </c>
      <c r="E132" s="540">
        <v>0.55000000000000004</v>
      </c>
      <c r="F132" s="431">
        <v>0</v>
      </c>
      <c r="G132" s="541">
        <v>0</v>
      </c>
      <c r="H132" s="431">
        <v>6000</v>
      </c>
      <c r="L132" s="683" t="s">
        <v>821</v>
      </c>
      <c r="M132" s="687">
        <v>5000.04</v>
      </c>
    </row>
    <row r="133" spans="2:13">
      <c r="B133" s="489" t="str">
        <f t="shared" si="3"/>
        <v>60F0.7-0.020.022</v>
      </c>
      <c r="C133" s="431">
        <v>60</v>
      </c>
      <c r="D133" s="431" t="s">
        <v>688</v>
      </c>
      <c r="E133" s="540">
        <v>0.7</v>
      </c>
      <c r="F133" s="431">
        <v>-0.02</v>
      </c>
      <c r="G133" s="541">
        <v>2.1999999999999999E-2</v>
      </c>
      <c r="H133" s="431">
        <v>4000.08</v>
      </c>
      <c r="L133" s="683" t="s">
        <v>822</v>
      </c>
      <c r="M133" s="687">
        <v>6000</v>
      </c>
    </row>
    <row r="134" spans="2:13">
      <c r="B134" s="489" t="str">
        <f t="shared" si="3"/>
        <v>61F0.7-0.020.022</v>
      </c>
      <c r="C134" s="431">
        <v>61</v>
      </c>
      <c r="D134" s="431" t="s">
        <v>688</v>
      </c>
      <c r="E134" s="540">
        <v>0.7</v>
      </c>
      <c r="F134" s="431">
        <v>-0.02</v>
      </c>
      <c r="G134" s="541">
        <v>2.1999999999999999E-2</v>
      </c>
      <c r="H134" s="431">
        <v>4000.08</v>
      </c>
      <c r="L134" s="683" t="s">
        <v>823</v>
      </c>
      <c r="M134" s="687">
        <v>6000</v>
      </c>
    </row>
    <row r="135" spans="2:13">
      <c r="B135" s="489" t="str">
        <f t="shared" si="3"/>
        <v>62F0.7-0.020.022</v>
      </c>
      <c r="C135" s="431">
        <v>62</v>
      </c>
      <c r="D135" s="431" t="s">
        <v>688</v>
      </c>
      <c r="E135" s="540">
        <v>0.7</v>
      </c>
      <c r="F135" s="431">
        <v>-0.02</v>
      </c>
      <c r="G135" s="541">
        <v>2.1999999999999999E-2</v>
      </c>
      <c r="H135" s="431">
        <v>4000.08</v>
      </c>
      <c r="L135" s="683" t="s">
        <v>824</v>
      </c>
      <c r="M135" s="687">
        <v>6000</v>
      </c>
    </row>
    <row r="136" spans="2:13">
      <c r="B136" s="489" t="str">
        <f t="shared" si="3"/>
        <v>63F0.7-0.020.022</v>
      </c>
      <c r="C136" s="431">
        <v>63</v>
      </c>
      <c r="D136" s="431" t="s">
        <v>688</v>
      </c>
      <c r="E136" s="540">
        <v>0.7</v>
      </c>
      <c r="F136" s="431">
        <v>-0.02</v>
      </c>
      <c r="G136" s="541">
        <v>2.1999999999999999E-2</v>
      </c>
      <c r="H136" s="431">
        <v>4045.44</v>
      </c>
      <c r="L136" s="683" t="s">
        <v>825</v>
      </c>
      <c r="M136" s="687">
        <v>6000</v>
      </c>
    </row>
    <row r="137" spans="2:13">
      <c r="B137" s="489" t="str">
        <f t="shared" si="3"/>
        <v>64F0.7-0.020.022</v>
      </c>
      <c r="C137" s="431">
        <v>64</v>
      </c>
      <c r="D137" s="431" t="s">
        <v>688</v>
      </c>
      <c r="E137" s="540">
        <v>0.7</v>
      </c>
      <c r="F137" s="431">
        <v>-0.02</v>
      </c>
      <c r="G137" s="541">
        <v>2.1999999999999999E-2</v>
      </c>
      <c r="H137" s="431">
        <v>4094.2799999999997</v>
      </c>
      <c r="L137" s="683" t="s">
        <v>826</v>
      </c>
      <c r="M137" s="687">
        <v>6000</v>
      </c>
    </row>
    <row r="138" spans="2:13">
      <c r="B138" s="489" t="str">
        <f t="shared" si="3"/>
        <v>65F0.6-0.020.022</v>
      </c>
      <c r="C138" s="431">
        <v>65</v>
      </c>
      <c r="D138" s="431" t="s">
        <v>688</v>
      </c>
      <c r="E138" s="540">
        <v>0.6</v>
      </c>
      <c r="F138" s="431">
        <v>-0.02</v>
      </c>
      <c r="G138" s="541">
        <v>2.1999999999999999E-2</v>
      </c>
      <c r="H138" s="431">
        <v>5000.04</v>
      </c>
      <c r="L138" s="683" t="s">
        <v>827</v>
      </c>
      <c r="M138" s="687">
        <v>6000</v>
      </c>
    </row>
    <row r="139" spans="2:13">
      <c r="B139" s="489" t="str">
        <f t="shared" si="3"/>
        <v>66F0.6-0.020.022</v>
      </c>
      <c r="C139" s="431">
        <v>66</v>
      </c>
      <c r="D139" s="431" t="s">
        <v>688</v>
      </c>
      <c r="E139" s="540">
        <v>0.6</v>
      </c>
      <c r="F139" s="431">
        <v>-0.02</v>
      </c>
      <c r="G139" s="541">
        <v>2.1999999999999999E-2</v>
      </c>
      <c r="H139" s="431">
        <v>5000.04</v>
      </c>
      <c r="L139" s="683" t="s">
        <v>828</v>
      </c>
      <c r="M139" s="687">
        <v>6000</v>
      </c>
    </row>
    <row r="140" spans="2:13">
      <c r="B140" s="489" t="str">
        <f t="shared" si="3"/>
        <v>67F0.6-0.020.022</v>
      </c>
      <c r="C140" s="431">
        <v>67</v>
      </c>
      <c r="D140" s="431" t="s">
        <v>688</v>
      </c>
      <c r="E140" s="540">
        <v>0.6</v>
      </c>
      <c r="F140" s="431">
        <v>-0.02</v>
      </c>
      <c r="G140" s="541">
        <v>2.1999999999999999E-2</v>
      </c>
      <c r="H140" s="431">
        <v>5000.04</v>
      </c>
      <c r="L140" s="683" t="s">
        <v>829</v>
      </c>
      <c r="M140" s="687">
        <v>6000</v>
      </c>
    </row>
    <row r="141" spans="2:13">
      <c r="B141" s="489" t="str">
        <f t="shared" ref="B141:B172" si="4">CONCATENATE(C141,D141,E141,F141,G141,)</f>
        <v>68F0.6-0.020.022</v>
      </c>
      <c r="C141" s="431">
        <v>68</v>
      </c>
      <c r="D141" s="431" t="s">
        <v>688</v>
      </c>
      <c r="E141" s="540">
        <v>0.6</v>
      </c>
      <c r="F141" s="431">
        <v>-0.02</v>
      </c>
      <c r="G141" s="541">
        <v>2.1999999999999999E-2</v>
      </c>
      <c r="H141" s="431">
        <v>5000.04</v>
      </c>
      <c r="L141" s="683" t="s">
        <v>830</v>
      </c>
      <c r="M141" s="687">
        <v>6000</v>
      </c>
    </row>
    <row r="142" spans="2:13">
      <c r="B142" s="489" t="str">
        <f t="shared" si="4"/>
        <v>69F0.6-0.020.022</v>
      </c>
      <c r="C142" s="431">
        <v>69</v>
      </c>
      <c r="D142" s="431" t="s">
        <v>688</v>
      </c>
      <c r="E142" s="540">
        <v>0.6</v>
      </c>
      <c r="F142" s="431">
        <v>-0.02</v>
      </c>
      <c r="G142" s="541">
        <v>2.1999999999999999E-2</v>
      </c>
      <c r="H142" s="431">
        <v>5000.04</v>
      </c>
      <c r="L142" s="683" t="s">
        <v>831</v>
      </c>
      <c r="M142" s="687">
        <v>6000</v>
      </c>
    </row>
    <row r="143" spans="2:13">
      <c r="B143" s="489" t="str">
        <f t="shared" si="4"/>
        <v>70F0.6-0.020.022</v>
      </c>
      <c r="C143" s="431">
        <v>70</v>
      </c>
      <c r="D143" s="431" t="s">
        <v>688</v>
      </c>
      <c r="E143" s="540">
        <v>0.6</v>
      </c>
      <c r="F143" s="431">
        <v>-0.02</v>
      </c>
      <c r="G143" s="541">
        <v>2.1999999999999999E-2</v>
      </c>
      <c r="H143" s="431">
        <v>5000.04</v>
      </c>
      <c r="L143" s="683" t="s">
        <v>832</v>
      </c>
      <c r="M143" s="687">
        <v>6000</v>
      </c>
    </row>
    <row r="144" spans="2:13">
      <c r="B144" s="489" t="str">
        <f t="shared" si="4"/>
        <v>71F0.6-0.020.022</v>
      </c>
      <c r="C144" s="431">
        <v>71</v>
      </c>
      <c r="D144" s="431" t="s">
        <v>688</v>
      </c>
      <c r="E144" s="540">
        <v>0.6</v>
      </c>
      <c r="F144" s="431">
        <v>-0.02</v>
      </c>
      <c r="G144" s="541">
        <v>2.1999999999999999E-2</v>
      </c>
      <c r="H144" s="431">
        <v>5000.04</v>
      </c>
      <c r="L144" s="683" t="s">
        <v>833</v>
      </c>
      <c r="M144" s="687">
        <v>6000</v>
      </c>
    </row>
    <row r="145" spans="2:13">
      <c r="B145" s="489" t="str">
        <f t="shared" si="4"/>
        <v>72F0.6-0.020.022</v>
      </c>
      <c r="C145" s="431">
        <v>72</v>
      </c>
      <c r="D145" s="431" t="s">
        <v>688</v>
      </c>
      <c r="E145" s="540">
        <v>0.6</v>
      </c>
      <c r="F145" s="431">
        <v>-0.02</v>
      </c>
      <c r="G145" s="541">
        <v>2.1999999999999999E-2</v>
      </c>
      <c r="H145" s="431">
        <v>5000.04</v>
      </c>
      <c r="L145" s="683" t="s">
        <v>834</v>
      </c>
      <c r="M145" s="687">
        <v>6000</v>
      </c>
    </row>
    <row r="146" spans="2:13">
      <c r="B146" s="489" t="str">
        <f t="shared" si="4"/>
        <v>73F0.6-0.020.022</v>
      </c>
      <c r="C146" s="431">
        <v>73</v>
      </c>
      <c r="D146" s="431" t="s">
        <v>688</v>
      </c>
      <c r="E146" s="540">
        <v>0.6</v>
      </c>
      <c r="F146" s="431">
        <v>-0.02</v>
      </c>
      <c r="G146" s="541">
        <v>2.1999999999999999E-2</v>
      </c>
      <c r="H146" s="431">
        <v>5000.04</v>
      </c>
      <c r="L146" s="683" t="s">
        <v>835</v>
      </c>
      <c r="M146" s="687">
        <v>6000</v>
      </c>
    </row>
    <row r="147" spans="2:13">
      <c r="B147" s="489" t="str">
        <f t="shared" si="4"/>
        <v>74F0.6-0.020.022</v>
      </c>
      <c r="C147" s="431">
        <v>74</v>
      </c>
      <c r="D147" s="431" t="s">
        <v>688</v>
      </c>
      <c r="E147" s="540">
        <v>0.6</v>
      </c>
      <c r="F147" s="431">
        <v>-0.02</v>
      </c>
      <c r="G147" s="541">
        <v>2.1999999999999999E-2</v>
      </c>
      <c r="H147" s="431">
        <v>5000.04</v>
      </c>
      <c r="L147" s="683" t="s">
        <v>836</v>
      </c>
      <c r="M147" s="687">
        <v>6000</v>
      </c>
    </row>
    <row r="148" spans="2:13">
      <c r="B148" s="489" t="str">
        <f t="shared" si="4"/>
        <v>75F0.4-0.020.022</v>
      </c>
      <c r="C148" s="431">
        <v>75</v>
      </c>
      <c r="D148" s="431" t="s">
        <v>688</v>
      </c>
      <c r="E148" s="540">
        <v>0.4</v>
      </c>
      <c r="F148" s="431">
        <v>-0.02</v>
      </c>
      <c r="G148" s="541">
        <v>2.1999999999999999E-2</v>
      </c>
      <c r="H148" s="431">
        <v>6000</v>
      </c>
      <c r="L148" s="683" t="s">
        <v>837</v>
      </c>
      <c r="M148" s="687">
        <v>6000</v>
      </c>
    </row>
    <row r="149" spans="2:13">
      <c r="B149" s="489" t="str">
        <f t="shared" si="4"/>
        <v>76F0.4-0.020.022</v>
      </c>
      <c r="C149" s="431">
        <v>76</v>
      </c>
      <c r="D149" s="431" t="s">
        <v>688</v>
      </c>
      <c r="E149" s="540">
        <v>0.4</v>
      </c>
      <c r="F149" s="431">
        <v>-0.02</v>
      </c>
      <c r="G149" s="541">
        <v>2.1999999999999999E-2</v>
      </c>
      <c r="H149" s="431">
        <v>6000</v>
      </c>
      <c r="L149" s="683" t="s">
        <v>838</v>
      </c>
      <c r="M149" s="687">
        <v>6000</v>
      </c>
    </row>
    <row r="150" spans="2:13">
      <c r="B150" s="489" t="str">
        <f t="shared" si="4"/>
        <v>77F0.4-0.020.022</v>
      </c>
      <c r="C150" s="431">
        <v>77</v>
      </c>
      <c r="D150" s="431" t="s">
        <v>688</v>
      </c>
      <c r="E150" s="540">
        <v>0.4</v>
      </c>
      <c r="F150" s="431">
        <v>-0.02</v>
      </c>
      <c r="G150" s="541">
        <v>2.1999999999999999E-2</v>
      </c>
      <c r="H150" s="431">
        <v>6000</v>
      </c>
      <c r="L150" s="683" t="s">
        <v>839</v>
      </c>
      <c r="M150" s="687">
        <v>6000</v>
      </c>
    </row>
    <row r="151" spans="2:13">
      <c r="B151" s="489" t="str">
        <f t="shared" si="4"/>
        <v>78F0.4-0.020.022</v>
      </c>
      <c r="C151" s="431">
        <v>78</v>
      </c>
      <c r="D151" s="431" t="s">
        <v>688</v>
      </c>
      <c r="E151" s="540">
        <v>0.4</v>
      </c>
      <c r="F151" s="431">
        <v>-0.02</v>
      </c>
      <c r="G151" s="541">
        <v>2.1999999999999999E-2</v>
      </c>
      <c r="H151" s="431">
        <v>6000</v>
      </c>
      <c r="L151" s="683" t="s">
        <v>840</v>
      </c>
      <c r="M151" s="687">
        <v>6000</v>
      </c>
    </row>
    <row r="152" spans="2:13">
      <c r="B152" s="489" t="str">
        <f t="shared" si="4"/>
        <v>79F0.4-0.020.022</v>
      </c>
      <c r="C152" s="431">
        <v>79</v>
      </c>
      <c r="D152" s="431" t="s">
        <v>688</v>
      </c>
      <c r="E152" s="540">
        <v>0.4</v>
      </c>
      <c r="F152" s="431">
        <v>-0.02</v>
      </c>
      <c r="G152" s="541">
        <v>2.1999999999999999E-2</v>
      </c>
      <c r="H152" s="431">
        <v>6000</v>
      </c>
      <c r="L152" s="683" t="s">
        <v>841</v>
      </c>
      <c r="M152" s="687">
        <v>6000</v>
      </c>
    </row>
    <row r="153" spans="2:13">
      <c r="B153" s="489" t="str">
        <f t="shared" si="4"/>
        <v>60F0.7-0.020</v>
      </c>
      <c r="C153" s="431">
        <v>60</v>
      </c>
      <c r="D153" s="431" t="s">
        <v>688</v>
      </c>
      <c r="E153" s="540">
        <v>0.7</v>
      </c>
      <c r="F153" s="431">
        <v>-0.02</v>
      </c>
      <c r="G153" s="541">
        <v>0</v>
      </c>
      <c r="H153" s="431">
        <v>4000.08</v>
      </c>
      <c r="L153" s="683" t="s">
        <v>842</v>
      </c>
      <c r="M153" s="687">
        <v>6012.72</v>
      </c>
    </row>
    <row r="154" spans="2:13">
      <c r="B154" s="489" t="str">
        <f t="shared" si="4"/>
        <v>61F0.7-0.020</v>
      </c>
      <c r="C154" s="431">
        <v>61</v>
      </c>
      <c r="D154" s="431" t="s">
        <v>688</v>
      </c>
      <c r="E154" s="540">
        <v>0.7</v>
      </c>
      <c r="F154" s="431">
        <v>-0.02</v>
      </c>
      <c r="G154" s="541">
        <v>0</v>
      </c>
      <c r="H154" s="431">
        <v>4025.76</v>
      </c>
      <c r="L154" s="683" t="s">
        <v>843</v>
      </c>
      <c r="M154" s="687">
        <v>6000</v>
      </c>
    </row>
    <row r="155" spans="2:13">
      <c r="B155" s="489" t="str">
        <f t="shared" si="4"/>
        <v>62F0.7-0.020</v>
      </c>
      <c r="C155" s="431">
        <v>62</v>
      </c>
      <c r="D155" s="431" t="s">
        <v>688</v>
      </c>
      <c r="E155" s="540">
        <v>0.7</v>
      </c>
      <c r="F155" s="431">
        <v>-0.02</v>
      </c>
      <c r="G155" s="541">
        <v>0</v>
      </c>
      <c r="H155" s="431">
        <v>4081.9199999999996</v>
      </c>
      <c r="L155" s="683" t="s">
        <v>844</v>
      </c>
      <c r="M155" s="687">
        <v>6000</v>
      </c>
    </row>
    <row r="156" spans="2:13">
      <c r="B156" s="489" t="str">
        <f t="shared" si="4"/>
        <v>63F0.7-0.020</v>
      </c>
      <c r="C156" s="431">
        <v>63</v>
      </c>
      <c r="D156" s="431" t="s">
        <v>688</v>
      </c>
      <c r="E156" s="540">
        <v>0.7</v>
      </c>
      <c r="F156" s="431">
        <v>-0.02</v>
      </c>
      <c r="G156" s="541">
        <v>0</v>
      </c>
      <c r="H156" s="431">
        <v>4136.76</v>
      </c>
      <c r="L156" s="683" t="s">
        <v>845</v>
      </c>
      <c r="M156" s="687">
        <v>6000</v>
      </c>
    </row>
    <row r="157" spans="2:13">
      <c r="B157" s="489" t="str">
        <f t="shared" si="4"/>
        <v>64F0.7-0.020</v>
      </c>
      <c r="C157" s="431">
        <v>64</v>
      </c>
      <c r="D157" s="431" t="s">
        <v>688</v>
      </c>
      <c r="E157" s="540">
        <v>0.7</v>
      </c>
      <c r="F157" s="431">
        <v>-0.02</v>
      </c>
      <c r="G157" s="541">
        <v>0</v>
      </c>
      <c r="H157" s="431">
        <v>4189.32</v>
      </c>
      <c r="L157" s="683" t="s">
        <v>846</v>
      </c>
      <c r="M157" s="687">
        <v>6000</v>
      </c>
    </row>
    <row r="158" spans="2:13">
      <c r="B158" s="489" t="str">
        <f t="shared" si="4"/>
        <v>65F0.6-0.020</v>
      </c>
      <c r="C158" s="431">
        <v>65</v>
      </c>
      <c r="D158" s="431" t="s">
        <v>688</v>
      </c>
      <c r="E158" s="540">
        <v>0.6</v>
      </c>
      <c r="F158" s="431">
        <v>-0.02</v>
      </c>
      <c r="G158" s="541">
        <v>0</v>
      </c>
      <c r="H158" s="431">
        <v>5000.04</v>
      </c>
      <c r="L158" s="683" t="s">
        <v>847</v>
      </c>
      <c r="M158" s="687">
        <v>6000</v>
      </c>
    </row>
    <row r="159" spans="2:13">
      <c r="B159" s="489" t="str">
        <f t="shared" si="4"/>
        <v>66F0.6-0.020</v>
      </c>
      <c r="C159" s="431">
        <v>66</v>
      </c>
      <c r="D159" s="431" t="s">
        <v>688</v>
      </c>
      <c r="E159" s="540">
        <v>0.6</v>
      </c>
      <c r="F159" s="431">
        <v>-0.02</v>
      </c>
      <c r="G159" s="541">
        <v>0</v>
      </c>
      <c r="H159" s="431">
        <v>5000.04</v>
      </c>
      <c r="L159" s="683" t="s">
        <v>848</v>
      </c>
      <c r="M159" s="687">
        <v>6000</v>
      </c>
    </row>
    <row r="160" spans="2:13">
      <c r="B160" s="489" t="str">
        <f t="shared" si="4"/>
        <v>67F0.6-0.020</v>
      </c>
      <c r="C160" s="431">
        <v>67</v>
      </c>
      <c r="D160" s="431" t="s">
        <v>688</v>
      </c>
      <c r="E160" s="540">
        <v>0.6</v>
      </c>
      <c r="F160" s="431">
        <v>-0.02</v>
      </c>
      <c r="G160" s="541">
        <v>0</v>
      </c>
      <c r="H160" s="431">
        <v>5000.04</v>
      </c>
      <c r="L160" s="683" t="s">
        <v>849</v>
      </c>
      <c r="M160" s="687">
        <v>6000</v>
      </c>
    </row>
    <row r="161" spans="2:13">
      <c r="B161" s="489" t="str">
        <f t="shared" si="4"/>
        <v>68F0.6-0.020</v>
      </c>
      <c r="C161" s="431">
        <v>68</v>
      </c>
      <c r="D161" s="431" t="s">
        <v>688</v>
      </c>
      <c r="E161" s="540">
        <v>0.6</v>
      </c>
      <c r="F161" s="431">
        <v>-0.02</v>
      </c>
      <c r="G161" s="541">
        <v>0</v>
      </c>
      <c r="H161" s="431">
        <v>5000.04</v>
      </c>
      <c r="L161" s="683" t="s">
        <v>850</v>
      </c>
      <c r="M161" s="687">
        <v>6059.6399999999994</v>
      </c>
    </row>
    <row r="162" spans="2:13">
      <c r="B162" s="489" t="str">
        <f t="shared" si="4"/>
        <v>69F0.6-0.020</v>
      </c>
      <c r="C162" s="431">
        <v>69</v>
      </c>
      <c r="D162" s="431" t="s">
        <v>688</v>
      </c>
      <c r="E162" s="540">
        <v>0.6</v>
      </c>
      <c r="F162" s="431">
        <v>-0.02</v>
      </c>
      <c r="G162" s="541">
        <v>0</v>
      </c>
      <c r="H162" s="431">
        <v>5000.04</v>
      </c>
      <c r="L162" s="683" t="s">
        <v>851</v>
      </c>
      <c r="M162" s="687">
        <v>6000</v>
      </c>
    </row>
    <row r="163" spans="2:13">
      <c r="B163" s="489" t="str">
        <f t="shared" si="4"/>
        <v>70F0.6-0.020</v>
      </c>
      <c r="C163" s="431">
        <v>70</v>
      </c>
      <c r="D163" s="431" t="s">
        <v>688</v>
      </c>
      <c r="E163" s="540">
        <v>0.6</v>
      </c>
      <c r="F163" s="431">
        <v>-0.02</v>
      </c>
      <c r="G163" s="541">
        <v>0</v>
      </c>
      <c r="H163" s="431">
        <v>5000.04</v>
      </c>
      <c r="L163" s="683" t="s">
        <v>852</v>
      </c>
      <c r="M163" s="687">
        <v>6000</v>
      </c>
    </row>
    <row r="164" spans="2:13">
      <c r="B164" s="489" t="str">
        <f t="shared" si="4"/>
        <v>71F0.6-0.020</v>
      </c>
      <c r="C164" s="431">
        <v>71</v>
      </c>
      <c r="D164" s="431" t="s">
        <v>688</v>
      </c>
      <c r="E164" s="540">
        <v>0.6</v>
      </c>
      <c r="F164" s="431">
        <v>-0.02</v>
      </c>
      <c r="G164" s="541">
        <v>0</v>
      </c>
      <c r="H164" s="431">
        <v>5000.04</v>
      </c>
      <c r="L164" s="683" t="s">
        <v>853</v>
      </c>
      <c r="M164" s="687">
        <v>6000</v>
      </c>
    </row>
    <row r="165" spans="2:13">
      <c r="B165" s="489" t="str">
        <f t="shared" si="4"/>
        <v>72F0.6-0.020</v>
      </c>
      <c r="C165" s="431">
        <v>72</v>
      </c>
      <c r="D165" s="431" t="s">
        <v>688</v>
      </c>
      <c r="E165" s="540">
        <v>0.6</v>
      </c>
      <c r="F165" s="431">
        <v>-0.02</v>
      </c>
      <c r="G165" s="541">
        <v>0</v>
      </c>
      <c r="H165" s="431">
        <v>5000.04</v>
      </c>
      <c r="L165" s="683" t="s">
        <v>854</v>
      </c>
      <c r="M165" s="687">
        <v>6032.16</v>
      </c>
    </row>
    <row r="166" spans="2:13">
      <c r="B166" s="489" t="str">
        <f t="shared" si="4"/>
        <v>73F0.6-0.020</v>
      </c>
      <c r="C166" s="431">
        <v>73</v>
      </c>
      <c r="D166" s="431" t="s">
        <v>688</v>
      </c>
      <c r="E166" s="540">
        <v>0.6</v>
      </c>
      <c r="F166" s="431">
        <v>-0.02</v>
      </c>
      <c r="G166" s="541">
        <v>0</v>
      </c>
      <c r="H166" s="431">
        <v>5000.04</v>
      </c>
      <c r="L166" s="683" t="s">
        <v>855</v>
      </c>
      <c r="M166" s="687">
        <v>6000</v>
      </c>
    </row>
    <row r="167" spans="2:13">
      <c r="B167" s="489" t="str">
        <f t="shared" si="4"/>
        <v>74F0.6-0.020</v>
      </c>
      <c r="C167" s="431">
        <v>74</v>
      </c>
      <c r="D167" s="431" t="s">
        <v>688</v>
      </c>
      <c r="E167" s="540">
        <v>0.6</v>
      </c>
      <c r="F167" s="431">
        <v>-0.02</v>
      </c>
      <c r="G167" s="541">
        <v>0</v>
      </c>
      <c r="H167" s="431">
        <v>5000.04</v>
      </c>
      <c r="L167" s="683" t="s">
        <v>856</v>
      </c>
      <c r="M167" s="687">
        <v>6000</v>
      </c>
    </row>
    <row r="168" spans="2:13">
      <c r="B168" s="489" t="str">
        <f t="shared" si="4"/>
        <v>75F0.4-0.020</v>
      </c>
      <c r="C168" s="431">
        <v>75</v>
      </c>
      <c r="D168" s="431" t="s">
        <v>688</v>
      </c>
      <c r="E168" s="540">
        <v>0.4</v>
      </c>
      <c r="F168" s="431">
        <v>-0.02</v>
      </c>
      <c r="G168" s="541">
        <v>0</v>
      </c>
      <c r="H168" s="431">
        <v>6000</v>
      </c>
      <c r="L168" s="683" t="s">
        <v>857</v>
      </c>
      <c r="M168" s="687">
        <v>6000</v>
      </c>
    </row>
    <row r="169" spans="2:13">
      <c r="B169" s="489" t="str">
        <f t="shared" si="4"/>
        <v>76F0.4-0.020</v>
      </c>
      <c r="C169" s="431">
        <v>76</v>
      </c>
      <c r="D169" s="431" t="s">
        <v>688</v>
      </c>
      <c r="E169" s="540">
        <v>0.4</v>
      </c>
      <c r="F169" s="431">
        <v>-0.02</v>
      </c>
      <c r="G169" s="541">
        <v>0</v>
      </c>
      <c r="H169" s="431">
        <v>6000</v>
      </c>
      <c r="L169" s="683" t="s">
        <v>858</v>
      </c>
      <c r="M169" s="687">
        <v>6101.4</v>
      </c>
    </row>
    <row r="170" spans="2:13">
      <c r="B170" s="489" t="str">
        <f t="shared" si="4"/>
        <v>77F0.4-0.020</v>
      </c>
      <c r="C170" s="431">
        <v>77</v>
      </c>
      <c r="D170" s="431" t="s">
        <v>688</v>
      </c>
      <c r="E170" s="540">
        <v>0.4</v>
      </c>
      <c r="F170" s="431">
        <v>-0.02</v>
      </c>
      <c r="G170" s="541">
        <v>0</v>
      </c>
      <c r="H170" s="431">
        <v>6000</v>
      </c>
      <c r="L170" s="683" t="s">
        <v>859</v>
      </c>
      <c r="M170" s="687">
        <v>6000</v>
      </c>
    </row>
    <row r="171" spans="2:13">
      <c r="B171" s="489" t="str">
        <f t="shared" si="4"/>
        <v>78F0.4-0.020</v>
      </c>
      <c r="C171" s="431">
        <v>78</v>
      </c>
      <c r="D171" s="431" t="s">
        <v>688</v>
      </c>
      <c r="E171" s="540">
        <v>0.4</v>
      </c>
      <c r="F171" s="431">
        <v>-0.02</v>
      </c>
      <c r="G171" s="541">
        <v>0</v>
      </c>
      <c r="H171" s="431">
        <v>6000</v>
      </c>
      <c r="L171" s="683" t="s">
        <v>860</v>
      </c>
      <c r="M171" s="687">
        <v>6000</v>
      </c>
    </row>
    <row r="172" spans="2:13">
      <c r="B172" s="489" t="str">
        <f t="shared" si="4"/>
        <v>79F0.4-0.020</v>
      </c>
      <c r="C172" s="431">
        <v>79</v>
      </c>
      <c r="D172" s="431" t="s">
        <v>688</v>
      </c>
      <c r="E172" s="540">
        <v>0.4</v>
      </c>
      <c r="F172" s="431">
        <v>-0.02</v>
      </c>
      <c r="G172" s="541">
        <v>0</v>
      </c>
      <c r="H172" s="431">
        <v>6032.16</v>
      </c>
      <c r="L172" s="683" t="s">
        <v>861</v>
      </c>
      <c r="M172" s="687">
        <v>6000</v>
      </c>
    </row>
    <row r="173" spans="2:13">
      <c r="L173" s="683" t="s">
        <v>535</v>
      </c>
      <c r="M173" s="687">
        <v>801997.55999999936</v>
      </c>
    </row>
  </sheetData>
  <autoFilter ref="B12:H172">
    <sortState ref="B13:H172">
      <sortCondition ref="B12:B172"/>
    </sortState>
  </autoFilter>
  <mergeCells count="1">
    <mergeCell ref="A3:B4"/>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2:AR43"/>
  <sheetViews>
    <sheetView showRowColHeaders="0" zoomScale="85" zoomScaleNormal="85" workbookViewId="0">
      <selection activeCell="BG8" sqref="BG8"/>
    </sheetView>
    <sheetView workbookViewId="1"/>
  </sheetViews>
  <sheetFormatPr defaultColWidth="3.75" defaultRowHeight="15.75"/>
  <cols>
    <col min="1" max="1" width="3.75" style="1201"/>
    <col min="2" max="2" width="1.875" style="1201" customWidth="1"/>
    <col min="3" max="15" width="3.75" style="1201"/>
    <col min="16" max="16" width="3.75" style="1201" customWidth="1"/>
    <col min="17" max="17" width="0.75" style="1201" customWidth="1"/>
    <col min="18" max="20" width="3.75" style="1201"/>
    <col min="21" max="21" width="10.375" style="1201" customWidth="1"/>
    <col min="22" max="22" width="3.75" style="1201" customWidth="1"/>
    <col min="23" max="23" width="5.25" style="1201" customWidth="1"/>
    <col min="24" max="24" width="3.625" style="1201" customWidth="1"/>
    <col min="25" max="25" width="5.5" style="1201" customWidth="1"/>
    <col min="26" max="26" width="3.625" style="1201" customWidth="1"/>
    <col min="27" max="27" width="6.875" style="1201" customWidth="1"/>
    <col min="28" max="28" width="3.625" style="1201" customWidth="1"/>
    <col min="29" max="29" width="5.25" style="1201" customWidth="1"/>
    <col min="30" max="30" width="3.75" style="1201"/>
    <col min="31" max="31" width="3.75" style="1201" customWidth="1"/>
    <col min="32" max="36" width="3.75" style="1201"/>
    <col min="37" max="37" width="12.125" style="1201" customWidth="1"/>
    <col min="38" max="38" width="13.625" style="1201" bestFit="1" customWidth="1"/>
    <col min="39" max="40" width="3.75" style="1201"/>
    <col min="41" max="41" width="3.75" style="1201" customWidth="1"/>
    <col min="42" max="16384" width="3.75" style="1201"/>
  </cols>
  <sheetData>
    <row r="2" spans="3:41" ht="36.75" customHeight="1">
      <c r="C2" s="1200" t="s">
        <v>1288</v>
      </c>
    </row>
    <row r="4" spans="3:41" ht="15.75" customHeight="1">
      <c r="C4" s="1385" t="s">
        <v>1295</v>
      </c>
      <c r="D4" s="1385"/>
      <c r="E4" s="1385"/>
      <c r="F4" s="1385"/>
      <c r="G4" s="1385"/>
      <c r="H4" s="1385"/>
      <c r="I4" s="1385"/>
      <c r="J4" s="1385"/>
      <c r="K4" s="1385"/>
      <c r="L4" s="1385"/>
      <c r="M4" s="1385"/>
      <c r="N4" s="1385"/>
      <c r="O4" s="1385"/>
      <c r="P4" s="1385"/>
      <c r="Q4" s="1385"/>
      <c r="R4" s="1385"/>
      <c r="S4" s="1385"/>
      <c r="T4" s="1385"/>
      <c r="U4" s="1385"/>
      <c r="V4" s="1385"/>
      <c r="W4" s="1385"/>
      <c r="X4" s="1385"/>
      <c r="Y4" s="1385"/>
      <c r="Z4" s="1385"/>
      <c r="AA4" s="1385"/>
      <c r="AB4" s="1385"/>
      <c r="AC4" s="1385"/>
      <c r="AD4" s="1385"/>
      <c r="AE4" s="1385"/>
      <c r="AF4" s="1385"/>
      <c r="AG4" s="1385"/>
      <c r="AH4" s="1385"/>
      <c r="AI4" s="1385"/>
      <c r="AJ4" s="1385"/>
      <c r="AK4" s="1385"/>
      <c r="AL4" s="1385"/>
      <c r="AM4" s="1243"/>
      <c r="AN4" s="1243"/>
      <c r="AO4" s="1243"/>
    </row>
    <row r="5" spans="3:41" ht="15.75" customHeight="1">
      <c r="C5" s="1385"/>
      <c r="D5" s="1385"/>
      <c r="E5" s="1385"/>
      <c r="F5" s="1385"/>
      <c r="G5" s="1385"/>
      <c r="H5" s="1385"/>
      <c r="I5" s="1385"/>
      <c r="J5" s="1385"/>
      <c r="K5" s="1385"/>
      <c r="L5" s="1385"/>
      <c r="M5" s="1385"/>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1385"/>
      <c r="AK5" s="1385"/>
      <c r="AL5" s="1385"/>
      <c r="AM5" s="1243"/>
      <c r="AN5" s="1243"/>
      <c r="AO5" s="1243"/>
    </row>
    <row r="6" spans="3:41" ht="30.75" customHeight="1">
      <c r="C6" s="1385"/>
      <c r="D6" s="1385"/>
      <c r="E6" s="1385"/>
      <c r="F6" s="1385"/>
      <c r="G6" s="1385"/>
      <c r="H6" s="1385"/>
      <c r="I6" s="1385"/>
      <c r="J6" s="1385"/>
      <c r="K6" s="1385"/>
      <c r="L6" s="1385"/>
      <c r="M6" s="1385"/>
      <c r="N6" s="1385"/>
      <c r="O6" s="1385"/>
      <c r="P6" s="1385"/>
      <c r="Q6" s="1385"/>
      <c r="R6" s="1385"/>
      <c r="S6" s="1385"/>
      <c r="T6" s="1385"/>
      <c r="U6" s="1385"/>
      <c r="V6" s="1385"/>
      <c r="W6" s="1385"/>
      <c r="X6" s="1385"/>
      <c r="Y6" s="1385"/>
      <c r="Z6" s="1385"/>
      <c r="AA6" s="1385"/>
      <c r="AB6" s="1385"/>
      <c r="AC6" s="1385"/>
      <c r="AD6" s="1385"/>
      <c r="AE6" s="1385"/>
      <c r="AF6" s="1385"/>
      <c r="AG6" s="1385"/>
      <c r="AH6" s="1385"/>
      <c r="AI6" s="1385"/>
      <c r="AJ6" s="1385"/>
      <c r="AK6" s="1385"/>
      <c r="AL6" s="1385"/>
      <c r="AM6" s="1243"/>
      <c r="AN6" s="1243"/>
      <c r="AO6" s="1243"/>
    </row>
    <row r="8" spans="3:41" ht="24.75" customHeight="1">
      <c r="D8" s="1367" t="s">
        <v>1290</v>
      </c>
      <c r="E8" s="1368"/>
      <c r="F8" s="1368"/>
      <c r="G8" s="1368"/>
      <c r="H8" s="1368"/>
      <c r="I8" s="1368"/>
      <c r="J8" s="1368"/>
      <c r="K8" s="1368"/>
      <c r="L8" s="1368"/>
      <c r="M8" s="1368"/>
      <c r="N8" s="1368"/>
      <c r="O8" s="1368"/>
      <c r="P8" s="1368"/>
      <c r="Q8" s="1202"/>
      <c r="R8" s="1378" t="s">
        <v>1291</v>
      </c>
      <c r="S8" s="1378"/>
      <c r="T8" s="1378"/>
      <c r="U8" s="1378"/>
      <c r="V8" s="1379"/>
      <c r="W8" s="1203"/>
      <c r="X8" s="1390" t="s">
        <v>1296</v>
      </c>
      <c r="Y8" s="1390"/>
      <c r="Z8" s="1390"/>
      <c r="AA8" s="1390"/>
      <c r="AB8" s="1390"/>
    </row>
    <row r="9" spans="3:41" ht="24.75" customHeight="1">
      <c r="D9" s="1369"/>
      <c r="E9" s="1370"/>
      <c r="F9" s="1370"/>
      <c r="G9" s="1370"/>
      <c r="H9" s="1370"/>
      <c r="I9" s="1370"/>
      <c r="J9" s="1370"/>
      <c r="K9" s="1370"/>
      <c r="L9" s="1370"/>
      <c r="M9" s="1370"/>
      <c r="N9" s="1370"/>
      <c r="O9" s="1370"/>
      <c r="P9" s="1370"/>
      <c r="Q9" s="1204"/>
      <c r="R9" s="1380" t="str">
        <f>"("&amp;'Age Pension Calculator'!V8&amp;")"</f>
        <v>(Couple)</v>
      </c>
      <c r="S9" s="1380"/>
      <c r="T9" s="1380"/>
      <c r="U9" s="1380"/>
      <c r="V9" s="1381"/>
      <c r="W9" s="1203"/>
      <c r="X9" s="1390"/>
      <c r="Y9" s="1390"/>
      <c r="Z9" s="1390"/>
      <c r="AA9" s="1390"/>
      <c r="AB9" s="1390"/>
      <c r="AK9" s="1241"/>
      <c r="AL9" s="1241"/>
    </row>
    <row r="10" spans="3:41" ht="7.5" customHeight="1">
      <c r="AK10" s="1241"/>
      <c r="AL10" s="1241"/>
    </row>
    <row r="11" spans="3:41" ht="30" customHeight="1" thickBot="1">
      <c r="D11" s="1205"/>
      <c r="E11" s="1206" t="s">
        <v>1268</v>
      </c>
      <c r="F11" s="1207"/>
      <c r="G11" s="1208"/>
      <c r="H11" s="1208"/>
      <c r="I11" s="1208"/>
      <c r="J11" s="1208"/>
      <c r="K11" s="1208"/>
      <c r="L11" s="1208"/>
      <c r="M11" s="1208"/>
      <c r="N11" s="1208"/>
      <c r="O11" s="1208"/>
      <c r="P11" s="1208"/>
      <c r="Q11" s="1208"/>
      <c r="R11" s="1393"/>
      <c r="S11" s="1393"/>
      <c r="T11" s="1393"/>
      <c r="U11" s="1393"/>
      <c r="V11" s="1393"/>
      <c r="W11" s="1384" t="s">
        <v>1293</v>
      </c>
      <c r="X11" s="1384"/>
      <c r="Y11" s="1384"/>
      <c r="Z11" s="1384"/>
      <c r="AA11" s="1384"/>
      <c r="AB11" s="1384"/>
      <c r="AC11" s="1384"/>
    </row>
    <row r="12" spans="3:41" s="1209" customFormat="1" ht="26.25" customHeight="1" thickTop="1">
      <c r="D12" s="1210"/>
      <c r="E12" s="1211" t="s">
        <v>1269</v>
      </c>
      <c r="F12" s="1212"/>
      <c r="G12" s="1212"/>
      <c r="H12" s="1212"/>
      <c r="I12" s="1212"/>
      <c r="J12" s="1212"/>
      <c r="K12" s="1212"/>
      <c r="L12" s="1212"/>
      <c r="M12" s="1212"/>
      <c r="N12" s="1212"/>
      <c r="O12" s="1212"/>
      <c r="P12" s="1212"/>
      <c r="Q12" s="1212"/>
      <c r="R12" s="1394">
        <f>IF(Relationship="Couple",SocialSecuritySettings!B275,SocialSecuritySettings!C275)</f>
        <v>100</v>
      </c>
      <c r="S12" s="1394"/>
      <c r="T12" s="1394"/>
      <c r="U12" s="1394"/>
      <c r="V12" s="1394"/>
      <c r="W12" s="1201"/>
      <c r="X12" s="1374">
        <f>R12</f>
        <v>100</v>
      </c>
      <c r="Y12" s="1374"/>
      <c r="Z12" s="1374"/>
      <c r="AA12" s="1374"/>
      <c r="AB12" s="1374"/>
    </row>
    <row r="13" spans="3:41" s="1209" customFormat="1" ht="26.25" customHeight="1">
      <c r="D13" s="1210"/>
      <c r="E13" s="1213" t="s">
        <v>1270</v>
      </c>
      <c r="F13" s="1214"/>
      <c r="G13" s="1214"/>
      <c r="H13" s="1214"/>
      <c r="I13" s="1214"/>
      <c r="J13" s="1214"/>
      <c r="K13" s="1214"/>
      <c r="L13" s="1214"/>
      <c r="M13" s="1214"/>
      <c r="N13" s="1214"/>
      <c r="O13" s="1212"/>
      <c r="P13" s="1214"/>
      <c r="Q13" s="1214"/>
      <c r="R13" s="1392">
        <f>IF(Relationship="Couple",SocialSecuritySettings!B276,SocialSecuritySettings!C276)</f>
        <v>56.15</v>
      </c>
      <c r="S13" s="1392"/>
      <c r="T13" s="1392"/>
      <c r="U13" s="1392"/>
      <c r="V13" s="1392"/>
      <c r="W13" s="1201"/>
      <c r="X13" s="1374">
        <f t="shared" ref="X13:X15" si="0">R13</f>
        <v>56.15</v>
      </c>
      <c r="Y13" s="1374"/>
      <c r="Z13" s="1374"/>
      <c r="AA13" s="1374"/>
      <c r="AB13" s="1374"/>
    </row>
    <row r="14" spans="3:41" s="1209" customFormat="1" ht="26.25" customHeight="1">
      <c r="D14" s="1210"/>
      <c r="E14" s="1213" t="s">
        <v>1271</v>
      </c>
      <c r="F14" s="1214"/>
      <c r="G14" s="1214"/>
      <c r="H14" s="1214"/>
      <c r="I14" s="1214"/>
      <c r="J14" s="1214"/>
      <c r="K14" s="1214"/>
      <c r="L14" s="1214"/>
      <c r="M14" s="1214"/>
      <c r="N14" s="1214"/>
      <c r="O14" s="1214"/>
      <c r="P14" s="1214"/>
      <c r="Q14" s="1214"/>
      <c r="R14" s="1365">
        <f>IF(Relationship="Couple",SocialSecuritySettings!B277,SocialSecuritySettings!C277)</f>
        <v>198.13</v>
      </c>
      <c r="S14" s="1365"/>
      <c r="T14" s="1365"/>
      <c r="U14" s="1365"/>
      <c r="V14" s="1365"/>
      <c r="W14" s="1201"/>
      <c r="X14" s="1374">
        <f t="shared" si="0"/>
        <v>198.13</v>
      </c>
      <c r="Y14" s="1374"/>
      <c r="Z14" s="1374"/>
      <c r="AA14" s="1374"/>
      <c r="AB14" s="1374"/>
    </row>
    <row r="15" spans="3:41" s="1209" customFormat="1" ht="26.25" customHeight="1">
      <c r="D15" s="1210"/>
      <c r="E15" s="1213" t="s">
        <v>1272</v>
      </c>
      <c r="F15" s="1214"/>
      <c r="G15" s="1214"/>
      <c r="H15" s="1214"/>
      <c r="I15" s="1214"/>
      <c r="J15" s="1214"/>
      <c r="K15" s="1214"/>
      <c r="L15" s="1214"/>
      <c r="M15" s="1214"/>
      <c r="N15" s="1214"/>
      <c r="O15" s="1214"/>
      <c r="P15" s="1214"/>
      <c r="Q15" s="1214"/>
      <c r="R15" s="1366">
        <f>IF(Relationship="Couple",SocialSecuritySettings!B278,SocialSecuritySettings!C278)</f>
        <v>57.31</v>
      </c>
      <c r="S15" s="1366"/>
      <c r="T15" s="1366"/>
      <c r="U15" s="1366"/>
      <c r="V15" s="1366"/>
      <c r="W15" s="1201"/>
      <c r="X15" s="1374">
        <f t="shared" si="0"/>
        <v>57.31</v>
      </c>
      <c r="Y15" s="1374"/>
      <c r="Z15" s="1374"/>
      <c r="AA15" s="1374"/>
      <c r="AB15" s="1374"/>
    </row>
    <row r="16" spans="3:41" s="1209" customFormat="1" ht="26.25" customHeight="1">
      <c r="D16" s="1210"/>
      <c r="E16" s="1213" t="s">
        <v>1273</v>
      </c>
      <c r="F16" s="1214"/>
      <c r="G16" s="1214"/>
      <c r="H16" s="1214"/>
      <c r="I16" s="1214"/>
      <c r="J16" s="1214"/>
      <c r="K16" s="1214"/>
      <c r="L16" s="1214"/>
      <c r="M16" s="1214"/>
      <c r="N16" s="1214"/>
      <c r="O16" s="1214"/>
      <c r="P16" s="1214"/>
      <c r="Q16" s="1214"/>
      <c r="R16" s="1366">
        <f>IF(Relationship="Couple",SocialSecuritySettings!B279,SocialSecuritySettings!C279)</f>
        <v>29.23</v>
      </c>
      <c r="S16" s="1366"/>
      <c r="T16" s="1366"/>
      <c r="U16" s="1366"/>
      <c r="V16" s="1366"/>
      <c r="W16" s="1201"/>
      <c r="X16" s="1374">
        <f t="shared" ref="X16:X21" si="1">R16</f>
        <v>29.23</v>
      </c>
      <c r="Y16" s="1374"/>
      <c r="Z16" s="1374"/>
      <c r="AA16" s="1374"/>
      <c r="AB16" s="1374"/>
    </row>
    <row r="17" spans="4:44" s="1209" customFormat="1" ht="26.25" customHeight="1">
      <c r="D17" s="1210"/>
      <c r="E17" s="1213" t="s">
        <v>1274</v>
      </c>
      <c r="F17" s="1214"/>
      <c r="G17" s="1214"/>
      <c r="H17" s="1214"/>
      <c r="I17" s="1214"/>
      <c r="J17" s="1214"/>
      <c r="K17" s="1214"/>
      <c r="L17" s="1214"/>
      <c r="M17" s="1214"/>
      <c r="N17" s="1214"/>
      <c r="O17" s="1214"/>
      <c r="P17" s="1214"/>
      <c r="Q17" s="1214"/>
      <c r="R17" s="1366">
        <f>IF(Relationship="Couple",SocialSecuritySettings!B280,SocialSecuritySettings!C280)</f>
        <v>155.30000000000001</v>
      </c>
      <c r="S17" s="1366"/>
      <c r="T17" s="1366"/>
      <c r="U17" s="1366"/>
      <c r="V17" s="1366"/>
      <c r="W17" s="1201"/>
      <c r="X17" s="1374">
        <f t="shared" si="1"/>
        <v>155.30000000000001</v>
      </c>
      <c r="Y17" s="1374"/>
      <c r="Z17" s="1374"/>
      <c r="AA17" s="1374"/>
      <c r="AB17" s="1374"/>
    </row>
    <row r="18" spans="4:44" s="1209" customFormat="1" ht="26.25" customHeight="1">
      <c r="D18" s="1210"/>
      <c r="E18" s="1213" t="s">
        <v>1275</v>
      </c>
      <c r="F18" s="1214"/>
      <c r="G18" s="1214"/>
      <c r="H18" s="1214"/>
      <c r="I18" s="1214"/>
      <c r="J18" s="1214"/>
      <c r="K18" s="1214"/>
      <c r="L18" s="1214"/>
      <c r="M18" s="1214"/>
      <c r="N18" s="1214"/>
      <c r="O18" s="1214"/>
      <c r="P18" s="1214"/>
      <c r="Q18" s="1214"/>
      <c r="R18" s="1366">
        <f>IF(Relationship="Couple",SocialSecuritySettings!B281,SocialSecuritySettings!C281)</f>
        <v>138.53</v>
      </c>
      <c r="S18" s="1366"/>
      <c r="T18" s="1366"/>
      <c r="U18" s="1366"/>
      <c r="V18" s="1366"/>
      <c r="W18" s="1201"/>
      <c r="X18" s="1374">
        <f t="shared" si="1"/>
        <v>138.53</v>
      </c>
      <c r="Y18" s="1374"/>
      <c r="Z18" s="1374"/>
      <c r="AA18" s="1374"/>
      <c r="AB18" s="1374"/>
    </row>
    <row r="19" spans="4:44" s="1209" customFormat="1" ht="26.25" customHeight="1">
      <c r="D19" s="1210"/>
      <c r="E19" s="1213" t="s">
        <v>1276</v>
      </c>
      <c r="F19" s="1214"/>
      <c r="G19" s="1214"/>
      <c r="H19" s="1214"/>
      <c r="I19" s="1214"/>
      <c r="J19" s="1214"/>
      <c r="K19" s="1214"/>
      <c r="L19" s="1214"/>
      <c r="M19" s="1214"/>
      <c r="N19" s="1214"/>
      <c r="O19" s="1214"/>
      <c r="P19" s="1214"/>
      <c r="Q19" s="1214"/>
      <c r="R19" s="1366">
        <f>IF(Relationship="Couple",SocialSecuritySettings!B282,SocialSecuritySettings!C282)</f>
        <v>29.65</v>
      </c>
      <c r="S19" s="1366"/>
      <c r="T19" s="1366"/>
      <c r="U19" s="1366"/>
      <c r="V19" s="1366"/>
      <c r="W19" s="1201"/>
      <c r="X19" s="1374">
        <f t="shared" si="1"/>
        <v>29.65</v>
      </c>
      <c r="Y19" s="1374"/>
      <c r="Z19" s="1374"/>
      <c r="AA19" s="1374"/>
      <c r="AB19" s="1374"/>
    </row>
    <row r="20" spans="4:44" s="1209" customFormat="1" ht="26.25" customHeight="1">
      <c r="D20" s="1210"/>
      <c r="E20" s="1213" t="s">
        <v>1277</v>
      </c>
      <c r="F20" s="1214"/>
      <c r="G20" s="1214"/>
      <c r="H20" s="1214"/>
      <c r="I20" s="1214"/>
      <c r="J20" s="1214"/>
      <c r="K20" s="1214"/>
      <c r="L20" s="1214"/>
      <c r="M20" s="1214"/>
      <c r="N20" s="1214"/>
      <c r="O20" s="1214"/>
      <c r="P20" s="1214"/>
      <c r="Q20" s="1214"/>
      <c r="R20" s="1366">
        <f>IF(Relationship="Couple",SocialSecuritySettings!B283,SocialSecuritySettings!C283)</f>
        <v>0</v>
      </c>
      <c r="S20" s="1366"/>
      <c r="T20" s="1366"/>
      <c r="U20" s="1366"/>
      <c r="V20" s="1366"/>
      <c r="W20" s="1201"/>
      <c r="X20" s="1374">
        <f t="shared" si="1"/>
        <v>0</v>
      </c>
      <c r="Y20" s="1374"/>
      <c r="Z20" s="1374"/>
      <c r="AA20" s="1374"/>
      <c r="AB20" s="1374"/>
    </row>
    <row r="21" spans="4:44" s="1209" customFormat="1" ht="26.25" customHeight="1">
      <c r="D21" s="1210"/>
      <c r="E21" s="1215" t="s">
        <v>80</v>
      </c>
      <c r="F21" s="1216"/>
      <c r="G21" s="1216"/>
      <c r="H21" s="1216"/>
      <c r="I21" s="1216"/>
      <c r="J21" s="1216"/>
      <c r="K21" s="1216"/>
      <c r="L21" s="1216"/>
      <c r="M21" s="1216"/>
      <c r="N21" s="1216"/>
      <c r="O21" s="1216"/>
      <c r="P21" s="1216"/>
      <c r="Q21" s="1216"/>
      <c r="R21" s="1366">
        <f>IF(Relationship="Couple",SocialSecuritySettings!B284,SocialSecuritySettings!C284)</f>
        <v>0</v>
      </c>
      <c r="S21" s="1366"/>
      <c r="T21" s="1366"/>
      <c r="U21" s="1366"/>
      <c r="V21" s="1366"/>
      <c r="W21" s="1201"/>
      <c r="X21" s="1374">
        <f t="shared" si="1"/>
        <v>0</v>
      </c>
      <c r="Y21" s="1374"/>
      <c r="Z21" s="1374"/>
      <c r="AA21" s="1374"/>
      <c r="AB21" s="1374"/>
    </row>
    <row r="22" spans="4:44" s="1209" customFormat="1" ht="10.5" customHeight="1">
      <c r="R22" s="1217"/>
      <c r="S22" s="1217"/>
      <c r="T22" s="1217"/>
      <c r="U22" s="1217"/>
      <c r="V22" s="1217"/>
      <c r="W22" s="1201"/>
      <c r="AE22" s="1218"/>
    </row>
    <row r="23" spans="4:44" s="1209" customFormat="1" ht="5.25" customHeight="1">
      <c r="D23" s="1210"/>
      <c r="E23" s="1219"/>
      <c r="F23" s="1219"/>
      <c r="G23" s="1219"/>
      <c r="H23" s="1219"/>
      <c r="I23" s="1219"/>
      <c r="J23" s="1219"/>
      <c r="K23" s="1219"/>
      <c r="L23" s="1219"/>
      <c r="M23" s="1219"/>
      <c r="N23" s="1219"/>
      <c r="O23" s="1219"/>
      <c r="P23" s="1219"/>
      <c r="Q23" s="1219"/>
      <c r="R23" s="1220"/>
      <c r="S23" s="1220"/>
      <c r="T23" s="1220"/>
      <c r="U23" s="1220"/>
      <c r="V23" s="1220"/>
      <c r="W23" s="1201"/>
      <c r="X23" s="1221"/>
      <c r="Y23" s="1221"/>
      <c r="Z23" s="1221"/>
      <c r="AA23" s="1221"/>
      <c r="AB23" s="1221"/>
    </row>
    <row r="24" spans="4:44" s="1209" customFormat="1" ht="30" customHeight="1" thickBot="1">
      <c r="D24" s="1210"/>
      <c r="E24" s="1222" t="s">
        <v>1278</v>
      </c>
      <c r="F24" s="1223"/>
      <c r="G24" s="1223"/>
      <c r="H24" s="1223"/>
      <c r="I24" s="1223"/>
      <c r="J24" s="1223"/>
      <c r="K24" s="1223"/>
      <c r="L24" s="1223"/>
      <c r="M24" s="1223"/>
      <c r="N24" s="1223"/>
      <c r="O24" s="1223"/>
      <c r="P24" s="1223"/>
      <c r="Q24" s="1223"/>
      <c r="R24" s="1371"/>
      <c r="S24" s="1371"/>
      <c r="T24" s="1371"/>
      <c r="U24" s="1371"/>
      <c r="V24" s="1371"/>
      <c r="W24" s="1384" t="s">
        <v>1294</v>
      </c>
      <c r="X24" s="1384"/>
      <c r="Y24" s="1384"/>
      <c r="Z24" s="1384"/>
      <c r="AA24" s="1384"/>
      <c r="AB24" s="1384"/>
      <c r="AC24" s="1384"/>
      <c r="AF24" s="1388" t="s">
        <v>1292</v>
      </c>
      <c r="AG24" s="1388"/>
      <c r="AH24" s="1388"/>
      <c r="AI24" s="1388"/>
      <c r="AJ24" s="1388"/>
      <c r="AK24" s="1388"/>
      <c r="AL24" s="1388"/>
      <c r="AM24" s="1388"/>
      <c r="AN24" s="1388"/>
      <c r="AO24" s="1388"/>
    </row>
    <row r="25" spans="4:44" s="1209" customFormat="1" ht="26.25" customHeight="1" thickTop="1" thickBot="1">
      <c r="D25" s="1210"/>
      <c r="E25" s="1211" t="s">
        <v>1279</v>
      </c>
      <c r="F25" s="1212"/>
      <c r="G25" s="1212"/>
      <c r="H25" s="1212"/>
      <c r="I25" s="1212"/>
      <c r="J25" s="1212"/>
      <c r="K25" s="1212"/>
      <c r="L25" s="1212"/>
      <c r="M25" s="1212"/>
      <c r="N25" s="1212"/>
      <c r="O25" s="1212"/>
      <c r="P25" s="1212"/>
      <c r="Q25" s="1212"/>
      <c r="R25" s="1391">
        <f>IF(Relationship="Couple",SocialSecuritySettings!B287,SocialSecuritySettings!C287)</f>
        <v>60.56</v>
      </c>
      <c r="S25" s="1391"/>
      <c r="T25" s="1391"/>
      <c r="U25" s="1391"/>
      <c r="V25" s="1391"/>
      <c r="W25" s="1201"/>
      <c r="X25" s="1374">
        <f>R25</f>
        <v>60.56</v>
      </c>
      <c r="Y25" s="1383"/>
      <c r="Z25" s="1383"/>
      <c r="AA25" s="1383"/>
      <c r="AB25" s="1383"/>
      <c r="AF25" s="1389"/>
      <c r="AG25" s="1389"/>
      <c r="AH25" s="1389"/>
      <c r="AI25" s="1389"/>
      <c r="AJ25" s="1389"/>
      <c r="AK25" s="1389"/>
      <c r="AL25" s="1389"/>
      <c r="AM25" s="1389"/>
      <c r="AN25" s="1389"/>
      <c r="AO25" s="1389"/>
    </row>
    <row r="26" spans="4:44" s="1209" customFormat="1" ht="26.25" customHeight="1">
      <c r="D26" s="1210"/>
      <c r="E26" s="1213" t="s">
        <v>1280</v>
      </c>
      <c r="F26" s="1214"/>
      <c r="G26" s="1214"/>
      <c r="H26" s="1214"/>
      <c r="I26" s="1214"/>
      <c r="J26" s="1214"/>
      <c r="K26" s="1214"/>
      <c r="L26" s="1214"/>
      <c r="M26" s="1214"/>
      <c r="N26" s="1214"/>
      <c r="O26" s="1214"/>
      <c r="P26" s="1214"/>
      <c r="Q26" s="1214"/>
      <c r="R26" s="1392">
        <f>IF(Relationship="Couple",SocialSecuritySettings!B288,SocialSecuritySettings!C288)</f>
        <v>135.63999999999999</v>
      </c>
      <c r="S26" s="1392"/>
      <c r="T26" s="1392"/>
      <c r="U26" s="1392"/>
      <c r="V26" s="1392"/>
      <c r="W26" s="1201"/>
      <c r="X26" s="1374">
        <f t="shared" ref="X26:X30" si="2">R26</f>
        <v>135.63999999999999</v>
      </c>
      <c r="Y26" s="1383"/>
      <c r="Z26" s="1383"/>
      <c r="AA26" s="1383"/>
      <c r="AB26" s="1383"/>
      <c r="AF26" s="1224"/>
      <c r="AG26" s="1225"/>
      <c r="AH26" s="1225"/>
      <c r="AI26" s="1225"/>
      <c r="AJ26" s="1225"/>
      <c r="AK26" s="1225"/>
      <c r="AL26" s="1225"/>
      <c r="AM26" s="1225"/>
      <c r="AN26" s="1225"/>
      <c r="AO26" s="1226"/>
      <c r="AQ26" s="1227"/>
      <c r="AR26" s="1227"/>
    </row>
    <row r="27" spans="4:44" s="1209" customFormat="1" ht="26.25" customHeight="1">
      <c r="D27" s="1210"/>
      <c r="E27" s="1213" t="s">
        <v>1281</v>
      </c>
      <c r="F27" s="1214"/>
      <c r="G27" s="1214"/>
      <c r="H27" s="1214"/>
      <c r="I27" s="1214"/>
      <c r="J27" s="1214"/>
      <c r="K27" s="1214"/>
      <c r="L27" s="1214"/>
      <c r="M27" s="1214"/>
      <c r="N27" s="1214"/>
      <c r="O27" s="1214"/>
      <c r="P27" s="1214"/>
      <c r="Q27" s="1214"/>
      <c r="R27" s="1392">
        <f>IF(Relationship="Couple",SocialSecuritySettings!B289,SocialSecuritySettings!C289)</f>
        <v>132.44999999999999</v>
      </c>
      <c r="S27" s="1392"/>
      <c r="T27" s="1392"/>
      <c r="U27" s="1392"/>
      <c r="V27" s="1392"/>
      <c r="W27" s="1201"/>
      <c r="X27" s="1374">
        <f t="shared" si="2"/>
        <v>132.44999999999999</v>
      </c>
      <c r="Y27" s="1383"/>
      <c r="Z27" s="1383"/>
      <c r="AA27" s="1383"/>
      <c r="AB27" s="1383"/>
      <c r="AF27" s="1228"/>
      <c r="AG27" s="1218"/>
      <c r="AH27" s="1229" t="s">
        <v>1293</v>
      </c>
      <c r="AI27" s="1230"/>
      <c r="AJ27" s="1230"/>
      <c r="AK27" s="1230"/>
      <c r="AL27" s="1382">
        <f>SUM(X12:AB21)*52.14264309</f>
        <v>39852.622113687001</v>
      </c>
      <c r="AM27" s="1382"/>
      <c r="AN27" s="1382"/>
      <c r="AO27" s="1231"/>
    </row>
    <row r="28" spans="4:44" s="1209" customFormat="1" ht="26.25" customHeight="1">
      <c r="D28" s="1210"/>
      <c r="E28" s="1211" t="s">
        <v>1282</v>
      </c>
      <c r="F28" s="1212"/>
      <c r="G28" s="1212"/>
      <c r="H28" s="1212"/>
      <c r="I28" s="1212"/>
      <c r="J28" s="1212"/>
      <c r="K28" s="1212"/>
      <c r="L28" s="1212"/>
      <c r="M28" s="1212"/>
      <c r="N28" s="1212"/>
      <c r="O28" s="1212"/>
      <c r="P28" s="1212"/>
      <c r="Q28" s="1212"/>
      <c r="R28" s="1365">
        <f>IF(Relationship="Couple",SocialSecuritySettings!B290,SocialSecuritySettings!C290)</f>
        <v>41.62</v>
      </c>
      <c r="S28" s="1365"/>
      <c r="T28" s="1365"/>
      <c r="U28" s="1365"/>
      <c r="V28" s="1365"/>
      <c r="W28" s="1201"/>
      <c r="X28" s="1374">
        <f t="shared" si="2"/>
        <v>41.62</v>
      </c>
      <c r="Y28" s="1383"/>
      <c r="Z28" s="1383"/>
      <c r="AA28" s="1383"/>
      <c r="AB28" s="1383"/>
      <c r="AF28" s="1228"/>
      <c r="AG28" s="1218"/>
      <c r="AH28" s="1232" t="s">
        <v>1294</v>
      </c>
      <c r="AI28" s="1233"/>
      <c r="AJ28" s="1233"/>
      <c r="AK28" s="1233"/>
      <c r="AL28" s="1386">
        <f>SUM(X25:AB30)*52.14264309</f>
        <v>19306.8564569343</v>
      </c>
      <c r="AM28" s="1386"/>
      <c r="AN28" s="1386"/>
      <c r="AO28" s="1231"/>
    </row>
    <row r="29" spans="4:44" s="1209" customFormat="1" ht="26.25" customHeight="1">
      <c r="D29" s="1210"/>
      <c r="E29" s="1213" t="s">
        <v>1283</v>
      </c>
      <c r="F29" s="1214"/>
      <c r="G29" s="1214"/>
      <c r="H29" s="1214"/>
      <c r="I29" s="1214"/>
      <c r="J29" s="1214"/>
      <c r="K29" s="1214"/>
      <c r="L29" s="1214"/>
      <c r="M29" s="1214"/>
      <c r="N29" s="1214"/>
      <c r="O29" s="1214"/>
      <c r="P29" s="1214"/>
      <c r="Q29" s="1214"/>
      <c r="R29" s="1392">
        <f>IF(Relationship="Couple",SocialSecuritySettings!B291,SocialSecuritySettings!C291)</f>
        <v>0</v>
      </c>
      <c r="S29" s="1392"/>
      <c r="T29" s="1392"/>
      <c r="U29" s="1392"/>
      <c r="V29" s="1392"/>
      <c r="W29" s="1201"/>
      <c r="X29" s="1374">
        <f t="shared" si="2"/>
        <v>0</v>
      </c>
      <c r="Y29" s="1383"/>
      <c r="Z29" s="1383"/>
      <c r="AA29" s="1383"/>
      <c r="AB29" s="1383"/>
      <c r="AF29" s="1228"/>
      <c r="AG29" s="1218"/>
      <c r="AH29" s="1234" t="s">
        <v>79</v>
      </c>
      <c r="AI29" s="1218"/>
      <c r="AJ29" s="1218"/>
      <c r="AK29" s="1218"/>
      <c r="AL29" s="1387">
        <f>ROUND(SUM(AL27:AL28),0)</f>
        <v>59159</v>
      </c>
      <c r="AM29" s="1387"/>
      <c r="AN29" s="1387"/>
      <c r="AO29" s="1231"/>
    </row>
    <row r="30" spans="4:44" s="1209" customFormat="1" ht="26.25" customHeight="1" thickBot="1">
      <c r="D30" s="1210"/>
      <c r="E30" s="1215" t="s">
        <v>1284</v>
      </c>
      <c r="F30" s="1216"/>
      <c r="G30" s="1216"/>
      <c r="H30" s="1216"/>
      <c r="I30" s="1216"/>
      <c r="J30" s="1216"/>
      <c r="K30" s="1216"/>
      <c r="L30" s="1216"/>
      <c r="M30" s="1216"/>
      <c r="N30" s="1216"/>
      <c r="O30" s="1216"/>
      <c r="P30" s="1216"/>
      <c r="Q30" s="1216"/>
      <c r="R30" s="1366">
        <f>IF(Relationship="Couple",SocialSecuritySettings!B292,SocialSecuritySettings!C292)</f>
        <v>0</v>
      </c>
      <c r="S30" s="1366"/>
      <c r="T30" s="1366"/>
      <c r="U30" s="1366"/>
      <c r="V30" s="1366"/>
      <c r="W30" s="1201"/>
      <c r="X30" s="1374">
        <f t="shared" si="2"/>
        <v>0</v>
      </c>
      <c r="Y30" s="1383"/>
      <c r="Z30" s="1383"/>
      <c r="AA30" s="1383"/>
      <c r="AB30" s="1383"/>
      <c r="AF30" s="1235"/>
      <c r="AG30" s="1236"/>
      <c r="AH30" s="1236"/>
      <c r="AI30" s="1236"/>
      <c r="AJ30" s="1236"/>
      <c r="AK30" s="1236"/>
      <c r="AL30" s="1236"/>
      <c r="AM30" s="1236"/>
      <c r="AN30" s="1236"/>
      <c r="AO30" s="1237"/>
    </row>
    <row r="31" spans="4:44" s="1209" customFormat="1" ht="6" customHeight="1">
      <c r="D31" s="1210"/>
      <c r="E31" s="1238"/>
      <c r="F31" s="1239"/>
      <c r="G31" s="1210"/>
      <c r="H31" s="1210"/>
      <c r="I31" s="1210"/>
      <c r="J31" s="1210"/>
      <c r="K31" s="1210"/>
      <c r="L31" s="1210"/>
      <c r="M31" s="1210"/>
      <c r="N31" s="1210"/>
      <c r="O31" s="1210"/>
      <c r="P31" s="1210"/>
      <c r="Q31" s="1210"/>
      <c r="R31" s="1240"/>
      <c r="S31" s="1210"/>
      <c r="T31" s="1210"/>
      <c r="U31" s="1210"/>
      <c r="V31" s="1210"/>
      <c r="W31" s="1201"/>
    </row>
    <row r="32" spans="4:44" ht="8.25" customHeight="1">
      <c r="Q32" s="1209"/>
      <c r="X32" s="1209"/>
      <c r="Y32" s="1209"/>
      <c r="Z32" s="1209"/>
      <c r="AA32" s="1209"/>
      <c r="AB32" s="1209"/>
      <c r="AC32" s="1209"/>
    </row>
    <row r="33" spans="4:29" ht="30.75" customHeight="1">
      <c r="D33" s="1241"/>
      <c r="E33" s="1242" t="s">
        <v>1287</v>
      </c>
      <c r="F33" s="1241"/>
      <c r="G33" s="1241"/>
      <c r="H33" s="1241"/>
      <c r="I33" s="1241"/>
      <c r="J33" s="1241"/>
      <c r="K33" s="1241"/>
      <c r="L33" s="1241"/>
      <c r="M33" s="1241"/>
      <c r="N33" s="1241"/>
      <c r="O33" s="1241"/>
      <c r="P33" s="1241"/>
      <c r="Q33" s="1241"/>
      <c r="R33" s="1375">
        <f>SUM(R12:V30)</f>
        <v>1134.5699999999997</v>
      </c>
      <c r="S33" s="1376"/>
      <c r="T33" s="1376"/>
      <c r="U33" s="1376"/>
      <c r="V33" s="1376"/>
      <c r="X33" s="1372">
        <f>SUM(X12:AB30)</f>
        <v>1134.5699999999997</v>
      </c>
      <c r="Y33" s="1373"/>
      <c r="Z33" s="1373"/>
      <c r="AA33" s="1373"/>
      <c r="AB33" s="1373"/>
      <c r="AC33" s="1209"/>
    </row>
    <row r="34" spans="4:29">
      <c r="Q34" s="1209"/>
      <c r="AC34" s="1209"/>
    </row>
    <row r="35" spans="4:29">
      <c r="D35" s="1377" t="s">
        <v>1289</v>
      </c>
      <c r="E35" s="1377"/>
      <c r="F35" s="1377"/>
      <c r="G35" s="1377"/>
      <c r="H35" s="1377"/>
      <c r="I35" s="1377"/>
      <c r="J35" s="1377"/>
      <c r="K35" s="1377"/>
      <c r="L35" s="1377"/>
      <c r="M35" s="1377"/>
      <c r="N35" s="1377"/>
      <c r="O35" s="1377"/>
      <c r="P35" s="1377"/>
      <c r="Q35" s="1377"/>
      <c r="R35" s="1377"/>
      <c r="S35" s="1377"/>
      <c r="T35" s="1377"/>
      <c r="U35" s="1377"/>
      <c r="V35" s="1377"/>
      <c r="W35" s="1377"/>
      <c r="X35" s="1377"/>
      <c r="Y35" s="1377"/>
      <c r="Z35" s="1377"/>
      <c r="AA35" s="1377"/>
      <c r="AB35" s="1377"/>
    </row>
    <row r="36" spans="4:29">
      <c r="D36" s="1377"/>
      <c r="E36" s="1377"/>
      <c r="F36" s="1377"/>
      <c r="G36" s="1377"/>
      <c r="H36" s="1377"/>
      <c r="I36" s="1377"/>
      <c r="J36" s="1377"/>
      <c r="K36" s="1377"/>
      <c r="L36" s="1377"/>
      <c r="M36" s="1377"/>
      <c r="N36" s="1377"/>
      <c r="O36" s="1377"/>
      <c r="P36" s="1377"/>
      <c r="Q36" s="1377"/>
      <c r="R36" s="1377"/>
      <c r="S36" s="1377"/>
      <c r="T36" s="1377"/>
      <c r="U36" s="1377"/>
      <c r="V36" s="1377"/>
      <c r="W36" s="1377"/>
      <c r="X36" s="1377"/>
      <c r="Y36" s="1377"/>
      <c r="Z36" s="1377"/>
      <c r="AA36" s="1377"/>
      <c r="AB36" s="1377"/>
    </row>
    <row r="37" spans="4:29" ht="26.25" customHeight="1">
      <c r="D37" s="1377"/>
      <c r="E37" s="1377"/>
      <c r="F37" s="1377"/>
      <c r="G37" s="1377"/>
      <c r="H37" s="1377"/>
      <c r="I37" s="1377"/>
      <c r="J37" s="1377"/>
      <c r="K37" s="1377"/>
      <c r="L37" s="1377"/>
      <c r="M37" s="1377"/>
      <c r="N37" s="1377"/>
      <c r="O37" s="1377"/>
      <c r="P37" s="1377"/>
      <c r="Q37" s="1377"/>
      <c r="R37" s="1377"/>
      <c r="S37" s="1377"/>
      <c r="T37" s="1377"/>
      <c r="U37" s="1377"/>
      <c r="V37" s="1377"/>
      <c r="W37" s="1377"/>
      <c r="X37" s="1377"/>
      <c r="Y37" s="1377"/>
      <c r="Z37" s="1377"/>
      <c r="AA37" s="1377"/>
      <c r="AB37" s="1377"/>
    </row>
    <row r="42" spans="4:29" ht="15.75" customHeight="1"/>
    <row r="43" spans="4:29" ht="15.75" customHeight="1"/>
  </sheetData>
  <sheetProtection password="FBCA" sheet="1" objects="1" scenarios="1"/>
  <mergeCells count="48">
    <mergeCell ref="W11:AC11"/>
    <mergeCell ref="C4:AL6"/>
    <mergeCell ref="AL28:AN28"/>
    <mergeCell ref="AL29:AN29"/>
    <mergeCell ref="AF24:AO25"/>
    <mergeCell ref="W24:AC24"/>
    <mergeCell ref="X21:AB21"/>
    <mergeCell ref="X8:AB9"/>
    <mergeCell ref="R25:V25"/>
    <mergeCell ref="R26:V26"/>
    <mergeCell ref="R27:V27"/>
    <mergeCell ref="R28:V28"/>
    <mergeCell ref="R29:V29"/>
    <mergeCell ref="R11:V11"/>
    <mergeCell ref="R12:V12"/>
    <mergeCell ref="R13:V13"/>
    <mergeCell ref="R33:V33"/>
    <mergeCell ref="D35:AB37"/>
    <mergeCell ref="R8:V8"/>
    <mergeCell ref="R9:V9"/>
    <mergeCell ref="AL27:AN27"/>
    <mergeCell ref="X25:AB25"/>
    <mergeCell ref="X26:AB26"/>
    <mergeCell ref="X27:AB27"/>
    <mergeCell ref="X28:AB28"/>
    <mergeCell ref="X29:AB29"/>
    <mergeCell ref="X30:AB30"/>
    <mergeCell ref="X16:AB16"/>
    <mergeCell ref="X17:AB17"/>
    <mergeCell ref="X18:AB18"/>
    <mergeCell ref="X19:AB19"/>
    <mergeCell ref="X20:AB20"/>
    <mergeCell ref="X33:AB33"/>
    <mergeCell ref="X12:AB12"/>
    <mergeCell ref="X13:AB13"/>
    <mergeCell ref="X14:AB14"/>
    <mergeCell ref="X15:AB15"/>
    <mergeCell ref="R14:V14"/>
    <mergeCell ref="R15:V15"/>
    <mergeCell ref="R16:V16"/>
    <mergeCell ref="D8:P9"/>
    <mergeCell ref="R30:V30"/>
    <mergeCell ref="R17:V17"/>
    <mergeCell ref="R18:V18"/>
    <mergeCell ref="R19:V19"/>
    <mergeCell ref="R20:V20"/>
    <mergeCell ref="R21:V21"/>
    <mergeCell ref="R24:V24"/>
  </mergeCells>
  <pageMargins left="0.7" right="0.7" top="0.75" bottom="0.75" header="0.3" footer="0.3"/>
  <pageSetup paperSize="9" orientation="portrait" horizontalDpi="300" verticalDpi="300" r:id="rId1"/>
  <ignoredErrors>
    <ignoredError sqref="X13:AB15 X25:AB30 X22:AB23 X16:AB21 Y12:AB1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ckToCalc">
                <anchor moveWithCells="1" sizeWithCells="1">
                  <from>
                    <xdr:col>36</xdr:col>
                    <xdr:colOff>38100</xdr:colOff>
                    <xdr:row>8</xdr:row>
                    <xdr:rowOff>19050</xdr:rowOff>
                  </from>
                  <to>
                    <xdr:col>37</xdr:col>
                    <xdr:colOff>1019175</xdr:colOff>
                    <xdr:row>9</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B1:BV86"/>
  <sheetViews>
    <sheetView workbookViewId="0">
      <selection activeCell="J37" sqref="J37"/>
    </sheetView>
    <sheetView tabSelected="1" topLeftCell="AM4" workbookViewId="1">
      <selection activeCell="AW24" sqref="AW24"/>
    </sheetView>
  </sheetViews>
  <sheetFormatPr defaultRowHeight="15.75"/>
  <cols>
    <col min="2" max="2" width="13.5" customWidth="1"/>
    <col min="3" max="3" width="22.25" customWidth="1"/>
    <col min="4" max="4" width="14.75" customWidth="1"/>
    <col min="5" max="5" width="13.375" customWidth="1"/>
    <col min="6" max="6" width="9.875" bestFit="1" customWidth="1"/>
    <col min="7" max="7" width="12.75" bestFit="1" customWidth="1"/>
    <col min="8" max="8" width="10.875" bestFit="1" customWidth="1"/>
    <col min="9" max="9" width="27.125" customWidth="1"/>
    <col min="10" max="10" width="12.75" customWidth="1"/>
    <col min="13" max="13" width="13.75" customWidth="1"/>
    <col min="14" max="14" width="11.125" bestFit="1" customWidth="1"/>
    <col min="15" max="15" width="34" customWidth="1"/>
    <col min="16" max="16" width="14.75" customWidth="1"/>
    <col min="17" max="17" width="10.5" customWidth="1"/>
    <col min="21" max="21" width="9.375" customWidth="1"/>
    <col min="22" max="22" width="11.625" customWidth="1"/>
    <col min="23" max="23" width="16.25" customWidth="1"/>
    <col min="24" max="24" width="15.25" customWidth="1"/>
    <col min="25" max="25" width="8.75" customWidth="1"/>
    <col min="26" max="26" width="10.125" customWidth="1"/>
    <col min="27" max="27" width="16" customWidth="1"/>
    <col min="28" max="28" width="17.125" customWidth="1"/>
    <col min="31" max="31" width="20.875" style="489" customWidth="1"/>
    <col min="32" max="32" width="11.625" style="489" customWidth="1"/>
    <col min="33" max="33" width="16.25" style="489" customWidth="1"/>
    <col min="34" max="34" width="15.25" style="489" customWidth="1"/>
    <col min="35" max="35" width="8.75" style="489" customWidth="1"/>
    <col min="36" max="36" width="15.125" style="489" customWidth="1"/>
    <col min="37" max="37" width="16" style="489" customWidth="1"/>
    <col min="38" max="38" width="17.125" style="489" customWidth="1"/>
    <col min="39" max="40" width="11" bestFit="1" customWidth="1"/>
    <col min="41" max="41" width="8.875" bestFit="1" customWidth="1"/>
    <col min="45" max="45" width="16.625" customWidth="1"/>
    <col min="46" max="46" width="15.125" customWidth="1"/>
    <col min="47" max="47" width="16.125" customWidth="1"/>
    <col min="49" max="49" width="11" bestFit="1" customWidth="1"/>
    <col min="50" max="50" width="19" customWidth="1"/>
    <col min="51" max="51" width="14.125" bestFit="1" customWidth="1"/>
    <col min="52" max="52" width="13.25" customWidth="1"/>
    <col min="53" max="53" width="20" bestFit="1" customWidth="1"/>
    <col min="54" max="54" width="11.875" bestFit="1" customWidth="1"/>
    <col min="55" max="55" width="11.25" bestFit="1" customWidth="1"/>
    <col min="66" max="66" width="11.625" customWidth="1"/>
    <col min="67" max="67" width="9.25" bestFit="1" customWidth="1"/>
    <col min="68" max="68" width="8" bestFit="1" customWidth="1"/>
    <col min="69" max="69" width="8.625" customWidth="1"/>
    <col min="71" max="71" width="9.5" bestFit="1" customWidth="1"/>
    <col min="72" max="72" width="9.25" bestFit="1" customWidth="1"/>
  </cols>
  <sheetData>
    <row r="1" spans="2:74">
      <c r="AJ1"/>
      <c r="AK1" s="8" t="s">
        <v>659</v>
      </c>
      <c r="AL1"/>
      <c r="AX1" s="489"/>
      <c r="AY1" s="489"/>
      <c r="AZ1" s="489"/>
      <c r="BA1" s="489"/>
      <c r="BB1" s="489"/>
      <c r="BC1" s="489"/>
    </row>
    <row r="2" spans="2:74">
      <c r="B2" s="428" t="s">
        <v>680</v>
      </c>
      <c r="C2" s="428"/>
      <c r="D2" s="428"/>
      <c r="E2" s="428"/>
      <c r="F2" s="428"/>
      <c r="G2" s="428"/>
      <c r="I2" s="428"/>
      <c r="J2" s="428" t="s">
        <v>698</v>
      </c>
      <c r="K2" s="192"/>
      <c r="AJ2"/>
      <c r="AK2" s="1" t="s">
        <v>646</v>
      </c>
      <c r="AL2" t="s">
        <v>634</v>
      </c>
      <c r="AN2" s="8" t="s">
        <v>898</v>
      </c>
      <c r="AO2" s="762" t="str">
        <f>IF('Age Pension Calculator'!AZ4="Account-Based Pension (super)","No","Yes")</f>
        <v>No</v>
      </c>
      <c r="AV2" s="489"/>
      <c r="AW2" s="489"/>
      <c r="AX2" s="489"/>
      <c r="AY2" s="489"/>
      <c r="AZ2" s="489"/>
      <c r="BA2" s="489"/>
      <c r="BB2" s="489"/>
      <c r="BC2" s="489"/>
    </row>
    <row r="3" spans="2:74">
      <c r="C3" t="s">
        <v>405</v>
      </c>
      <c r="D3" t="s">
        <v>679</v>
      </c>
      <c r="F3" t="s">
        <v>681</v>
      </c>
      <c r="I3" t="s">
        <v>0</v>
      </c>
      <c r="J3">
        <f>D52</f>
        <v>30000</v>
      </c>
      <c r="AJ3" t="s">
        <v>22</v>
      </c>
      <c r="AK3" s="534">
        <f ca="1">AL3/((1+Settings!$J$63)^15)</f>
        <v>51784.916762923931</v>
      </c>
      <c r="AL3" s="534">
        <f ca="1">'Admin Settings'!K86*'Admin Settings'!V86</f>
        <v>75000</v>
      </c>
      <c r="AS3" s="48" t="s">
        <v>1136</v>
      </c>
      <c r="AT3" t="s">
        <v>18</v>
      </c>
      <c r="AV3" s="489"/>
      <c r="AW3" s="489"/>
      <c r="AX3" s="489"/>
      <c r="AY3" s="489"/>
      <c r="AZ3" s="489"/>
      <c r="BA3" s="489"/>
      <c r="BB3" s="489"/>
      <c r="BC3" s="489"/>
    </row>
    <row r="4" spans="2:74">
      <c r="B4">
        <v>1</v>
      </c>
      <c r="C4" s="491">
        <v>0</v>
      </c>
      <c r="D4" s="491">
        <v>0</v>
      </c>
      <c r="E4" t="s">
        <v>22</v>
      </c>
      <c r="F4" s="491">
        <f ca="1">VLOOKUP('Admin Settings'!F80,B4:D7,IF(Settings!L26="Nil",2,3))</f>
        <v>0.75</v>
      </c>
      <c r="I4" t="s">
        <v>10</v>
      </c>
      <c r="J4">
        <f>E52</f>
        <v>45000</v>
      </c>
      <c r="U4" s="8" t="s">
        <v>576</v>
      </c>
      <c r="W4" s="529"/>
      <c r="AD4" s="489"/>
      <c r="AE4" s="8" t="s">
        <v>638</v>
      </c>
      <c r="AG4" s="529"/>
      <c r="AJ4" s="489" t="s">
        <v>23</v>
      </c>
      <c r="AK4" s="534">
        <f ca="1">AL4/((1+Settings!$J$63)^15)</f>
        <v>38838.687572192946</v>
      </c>
      <c r="AL4" s="534">
        <f ca="1">'Admin Settings'!K87*'Admin Settings'!V87</f>
        <v>56250</v>
      </c>
      <c r="AR4" s="489"/>
      <c r="AS4" s="948" t="s">
        <v>608</v>
      </c>
      <c r="AT4" s="489" t="str">
        <f>IF('Age Pension Calculator'!BG61&gt;0,"Age Pension","N/A")</f>
        <v>Age Pension</v>
      </c>
      <c r="AU4" s="489"/>
      <c r="AV4" s="489"/>
      <c r="AW4" s="489"/>
      <c r="AX4" s="489"/>
      <c r="AY4" s="489"/>
      <c r="BB4" s="489"/>
      <c r="BC4" s="489"/>
      <c r="BE4" t="s">
        <v>1236</v>
      </c>
    </row>
    <row r="5" spans="2:74">
      <c r="B5" s="489">
        <v>60</v>
      </c>
      <c r="C5" s="429">
        <v>0.85</v>
      </c>
      <c r="D5" s="429">
        <v>0.7</v>
      </c>
      <c r="E5" s="489" t="s">
        <v>23</v>
      </c>
      <c r="F5" s="491">
        <f ca="1">IF(Relationship="Couple",VLOOKUP('Admin Settings'!F81,B4:D7,IF(Settings!L26="Nil",2,3)),0)</f>
        <v>0.75</v>
      </c>
      <c r="I5" s="8" t="s">
        <v>551</v>
      </c>
      <c r="J5" s="8">
        <f>IF(Relationship="Couple",J4,J3)</f>
        <v>45000</v>
      </c>
      <c r="AD5" s="489"/>
      <c r="AJ5" s="8" t="s">
        <v>1149</v>
      </c>
      <c r="AK5" s="535">
        <f ca="1">AL5/((1+Settings!$J$63)^15)</f>
        <v>90623.604335116877</v>
      </c>
      <c r="AL5" s="535">
        <f ca="1">AL4+AL3-IF(AO2="No",0,AT41)</f>
        <v>131250</v>
      </c>
      <c r="AV5" s="489"/>
      <c r="AW5" s="489"/>
      <c r="AX5" s="489"/>
      <c r="AY5" s="489"/>
      <c r="BB5" s="489"/>
      <c r="BC5" s="489"/>
      <c r="BF5" s="8" t="s">
        <v>1234</v>
      </c>
      <c r="BG5" s="8" t="s">
        <v>1235</v>
      </c>
      <c r="BN5" s="8" t="s">
        <v>1238</v>
      </c>
      <c r="BO5" s="489"/>
      <c r="BP5" s="489"/>
      <c r="BQ5" s="489"/>
      <c r="BS5" s="8" t="s">
        <v>1239</v>
      </c>
      <c r="BT5" s="489"/>
      <c r="BU5" s="489"/>
      <c r="BV5" s="489"/>
    </row>
    <row r="6" spans="2:74">
      <c r="B6" s="489">
        <v>65</v>
      </c>
      <c r="C6" s="429">
        <v>0.75</v>
      </c>
      <c r="D6" s="429">
        <v>0.6</v>
      </c>
      <c r="E6" s="489"/>
      <c r="F6" s="489"/>
      <c r="U6" s="1406" t="s">
        <v>633</v>
      </c>
      <c r="V6" s="1406"/>
      <c r="W6" s="1406"/>
      <c r="X6" s="1406"/>
      <c r="Y6" s="1395" t="s">
        <v>634</v>
      </c>
      <c r="Z6" s="1395"/>
      <c r="AA6" s="1395"/>
      <c r="AB6" s="1395"/>
      <c r="AD6" s="489"/>
      <c r="AE6" s="1406" t="s">
        <v>633</v>
      </c>
      <c r="AF6" s="1406"/>
      <c r="AG6" s="1406"/>
      <c r="AH6" s="1406"/>
      <c r="AI6" s="1395" t="s">
        <v>634</v>
      </c>
      <c r="AJ6" s="1395"/>
      <c r="AK6" s="1395"/>
      <c r="AL6" s="1395"/>
      <c r="AV6" s="489"/>
      <c r="AW6" s="489"/>
      <c r="AX6" s="8" t="s">
        <v>1231</v>
      </c>
      <c r="BC6" s="489"/>
      <c r="BE6" t="s">
        <v>92</v>
      </c>
      <c r="BF6" s="1127">
        <f>(IF('Admin Settings'!L86=0,0,IF('Admin Settings'!L86="CPI",Settings!J63,MAX(0,Settings!J63-0.02))))</f>
        <v>0</v>
      </c>
      <c r="BG6">
        <f>IF('Age Pension Calculator'!V8="Single",0,(IF('Admin Settings'!L87=0,0,IF('Admin Settings'!L87="CPI",Settings!J63,MAX(0,Settings!J63-0.02)))))</f>
        <v>0</v>
      </c>
      <c r="BS6" s="489"/>
      <c r="BT6" s="489"/>
      <c r="BU6" s="489"/>
      <c r="BV6" s="489"/>
    </row>
    <row r="7" spans="2:74" ht="15.75" customHeight="1">
      <c r="B7" s="489">
        <v>75</v>
      </c>
      <c r="C7" s="491">
        <v>0.55000000000000004</v>
      </c>
      <c r="D7" s="491">
        <v>0.4</v>
      </c>
      <c r="E7" s="489"/>
      <c r="F7" s="489"/>
      <c r="P7" t="s">
        <v>678</v>
      </c>
      <c r="Q7" t="s">
        <v>584</v>
      </c>
      <c r="R7" t="s">
        <v>583</v>
      </c>
      <c r="U7" s="1396" t="s">
        <v>15</v>
      </c>
      <c r="V7" s="1397" t="s">
        <v>641</v>
      </c>
      <c r="W7" s="1397" t="s">
        <v>639</v>
      </c>
      <c r="X7" s="1397" t="s">
        <v>661</v>
      </c>
      <c r="Y7" s="1398" t="s">
        <v>15</v>
      </c>
      <c r="Z7" s="1401" t="s">
        <v>641</v>
      </c>
      <c r="AA7" s="1401" t="s">
        <v>639</v>
      </c>
      <c r="AB7" s="1404" t="s">
        <v>640</v>
      </c>
      <c r="AD7" s="489"/>
      <c r="AE7" s="1396" t="s">
        <v>15</v>
      </c>
      <c r="AF7" s="1397" t="s">
        <v>641</v>
      </c>
      <c r="AG7" s="1397" t="s">
        <v>639</v>
      </c>
      <c r="AH7" s="1397" t="s">
        <v>661</v>
      </c>
      <c r="AI7" s="1398" t="s">
        <v>15</v>
      </c>
      <c r="AJ7" s="1401" t="s">
        <v>641</v>
      </c>
      <c r="AK7" s="1401" t="s">
        <v>639</v>
      </c>
      <c r="AL7" s="1404" t="s">
        <v>640</v>
      </c>
      <c r="AP7" s="489"/>
      <c r="AQ7" s="685" t="s">
        <v>1146</v>
      </c>
      <c r="AR7" s="684"/>
      <c r="AS7" s="684"/>
      <c r="AT7" s="684"/>
      <c r="AU7" s="684"/>
      <c r="AV7" s="489"/>
      <c r="AW7" s="489"/>
      <c r="AX7" t="s">
        <v>1233</v>
      </c>
      <c r="BE7" t="s">
        <v>1190</v>
      </c>
      <c r="BF7" t="str">
        <f ca="1">'Admin Settings'!Y86</f>
        <v>Person 1</v>
      </c>
      <c r="BG7" t="str">
        <f ca="1">'Admin Settings'!Y87</f>
        <v>Person 1</v>
      </c>
      <c r="BN7" s="1110" t="s">
        <v>1218</v>
      </c>
      <c r="BO7" s="1110" t="s">
        <v>195</v>
      </c>
      <c r="BP7" s="1110" t="s">
        <v>111</v>
      </c>
      <c r="BQ7" s="1110" t="s">
        <v>1219</v>
      </c>
      <c r="BS7" s="1110" t="s">
        <v>1218</v>
      </c>
      <c r="BT7" s="1110" t="s">
        <v>195</v>
      </c>
      <c r="BU7" s="1110" t="s">
        <v>111</v>
      </c>
      <c r="BV7" s="1110" t="s">
        <v>1219</v>
      </c>
    </row>
    <row r="8" spans="2:74" ht="15.75" customHeight="1">
      <c r="B8" s="489"/>
      <c r="C8" s="489"/>
      <c r="D8" s="489"/>
      <c r="E8" s="489"/>
      <c r="F8" s="489"/>
      <c r="O8" t="s">
        <v>22</v>
      </c>
      <c r="P8">
        <f>VLOOKUP('Age Pension Calculator'!T16,'Age Pension additional calcs'!O14:R28,IF('Age Pension Calculator'!X14="Female",3,4))</f>
        <v>65</v>
      </c>
      <c r="Q8">
        <f ca="1">E34</f>
        <v>66.891666666666666</v>
      </c>
      <c r="R8" t="str">
        <f ca="1">IF(Q8&gt;=P8,"Yes","No")</f>
        <v>Yes</v>
      </c>
      <c r="U8" s="1396"/>
      <c r="V8" s="1397"/>
      <c r="W8" s="1397"/>
      <c r="X8" s="1397"/>
      <c r="Y8" s="1399"/>
      <c r="Z8" s="1402"/>
      <c r="AA8" s="1402"/>
      <c r="AB8" s="1404"/>
      <c r="AD8" s="489"/>
      <c r="AE8" s="1396"/>
      <c r="AF8" s="1397"/>
      <c r="AG8" s="1397"/>
      <c r="AH8" s="1397"/>
      <c r="AI8" s="1399"/>
      <c r="AJ8" s="1402"/>
      <c r="AK8" s="1402"/>
      <c r="AL8" s="1404"/>
      <c r="AN8" s="685" t="s">
        <v>1255</v>
      </c>
      <c r="AO8" s="79"/>
      <c r="AP8" s="489"/>
      <c r="AQ8" s="489"/>
      <c r="AR8" s="489"/>
      <c r="AS8" s="489"/>
      <c r="AT8" s="8" t="s">
        <v>22</v>
      </c>
      <c r="AU8" s="8" t="s">
        <v>23</v>
      </c>
      <c r="AV8" s="489"/>
      <c r="AW8" s="489"/>
      <c r="AX8" s="762" t="s">
        <v>175</v>
      </c>
      <c r="AY8" s="762" t="s">
        <v>910</v>
      </c>
      <c r="AZ8" s="762" t="s">
        <v>176</v>
      </c>
      <c r="BA8" s="762" t="str">
        <f>'Deterministic Output'!E2</f>
        <v>Other income</v>
      </c>
      <c r="BD8" s="489"/>
      <c r="BE8">
        <v>1</v>
      </c>
      <c r="BF8">
        <f ca="1">'Admin Settings'!X86</f>
        <v>5000.04</v>
      </c>
      <c r="BG8">
        <f ca="1">IF(Relationship="Single",0,'Admin Settings'!X87)</f>
        <v>3750.03</v>
      </c>
      <c r="BM8">
        <v>1</v>
      </c>
      <c r="BN8" s="1111">
        <f>MAX(0,AT9)</f>
        <v>100000</v>
      </c>
      <c r="BO8" s="1112">
        <f ca="1">BF8</f>
        <v>5000.04</v>
      </c>
      <c r="BP8" s="1113">
        <f ca="1">AT11</f>
        <v>5431.8305268875611</v>
      </c>
      <c r="BQ8" s="1114">
        <f ca="1">MAX(BP8-BO8+0,0)</f>
        <v>431.7905268875611</v>
      </c>
      <c r="BR8">
        <v>1</v>
      </c>
      <c r="BS8" s="1130">
        <f>MAX(0,AU9)</f>
        <v>75000</v>
      </c>
      <c r="BT8" s="1112">
        <f ca="1">BG8</f>
        <v>3750.03</v>
      </c>
      <c r="BU8" s="1113">
        <f ca="1">AU11</f>
        <v>4073.8728951656708</v>
      </c>
      <c r="BV8" s="1114">
        <f ca="1">MAX(BU8-BT8+0,0)</f>
        <v>323.8428951656706</v>
      </c>
    </row>
    <row r="9" spans="2:74" ht="15.75" customHeight="1">
      <c r="B9" s="489"/>
      <c r="C9" s="489"/>
      <c r="D9" s="489"/>
      <c r="E9" s="489"/>
      <c r="F9" s="489"/>
      <c r="I9" s="533"/>
      <c r="O9" t="s">
        <v>23</v>
      </c>
      <c r="P9">
        <f>VLOOKUP('Age Pension Calculator'!T21,'Age Pension additional calcs'!O14:R28,IF('Age Pension Calculator'!X19="Female",3,4))</f>
        <v>65</v>
      </c>
      <c r="Q9">
        <f ca="1">E35</f>
        <v>66.888888888888886</v>
      </c>
      <c r="R9" s="489" t="str">
        <f ca="1">IF(Q9&gt;=P9,"Yes","No")</f>
        <v>Yes</v>
      </c>
      <c r="U9" s="1396"/>
      <c r="V9" s="1397"/>
      <c r="W9" s="1397"/>
      <c r="X9" s="1397"/>
      <c r="Y9" s="1400"/>
      <c r="Z9" s="1403"/>
      <c r="AA9" s="1403"/>
      <c r="AB9" s="1404"/>
      <c r="AD9" s="489"/>
      <c r="AE9" s="1396"/>
      <c r="AF9" s="1397"/>
      <c r="AG9" s="1397"/>
      <c r="AH9" s="1397"/>
      <c r="AI9" s="1400"/>
      <c r="AJ9" s="1403"/>
      <c r="AK9" s="1403"/>
      <c r="AL9" s="1404"/>
      <c r="AN9" t="s">
        <v>1256</v>
      </c>
      <c r="AO9" t="s">
        <v>1257</v>
      </c>
      <c r="AQ9" s="8" t="s">
        <v>317</v>
      </c>
      <c r="AR9" s="489"/>
      <c r="AS9" s="489"/>
      <c r="AT9" s="937">
        <f>'Admin Settings'!V86</f>
        <v>100000</v>
      </c>
      <c r="AU9" s="937">
        <f>'Admin Settings'!V87</f>
        <v>75000</v>
      </c>
      <c r="AV9" s="489"/>
      <c r="AX9" s="1129">
        <f>'Deterministic Output'!A17*((1+Settings!$J$63)^14)</f>
        <v>48353.799932127673</v>
      </c>
      <c r="AY9" s="1129">
        <f>'Deterministic Output'!F17*((1+Settings!$J$63)^14)</f>
        <v>6626.1709436063293</v>
      </c>
      <c r="AZ9" s="1129">
        <f>'Deterministic Output'!B17*((1+Settings!$J$63)^14)</f>
        <v>8750.0699999999924</v>
      </c>
      <c r="BA9" s="1129">
        <f>'Deterministic Output'!E17*((1+Settings!$J$63)^14)</f>
        <v>0</v>
      </c>
      <c r="BD9" s="495"/>
      <c r="BE9">
        <v>2</v>
      </c>
      <c r="BF9">
        <f ca="1">BF8*(1+$BF$6)</f>
        <v>5000.04</v>
      </c>
      <c r="BG9" s="489">
        <f ca="1">BG8*(1+$BG$6)</f>
        <v>3750.03</v>
      </c>
      <c r="BM9">
        <v>2</v>
      </c>
      <c r="BN9" s="1113">
        <f t="shared" ref="BN9:BN23" ca="1" si="0">MAX(0,$BN$8-$AT$11*(AD11-1)+BQ8)</f>
        <v>94999.96</v>
      </c>
      <c r="BO9" s="1112">
        <f ca="1">BF9</f>
        <v>5000.04</v>
      </c>
      <c r="BP9" s="1113">
        <f ca="1">BP8</f>
        <v>5431.8305268875611</v>
      </c>
      <c r="BQ9" s="1114">
        <f ca="1">MAX(BP9-BO9+BQ8,0)</f>
        <v>863.5810537751222</v>
      </c>
      <c r="BR9">
        <v>2</v>
      </c>
      <c r="BS9" s="1113">
        <f ca="1">MAX(0,$BS$8-$AU$11*(AD11-1)+BV8)</f>
        <v>71249.97</v>
      </c>
      <c r="BT9" s="1112">
        <f t="shared" ref="BT9:BT22" ca="1" si="1">BG9</f>
        <v>3750.03</v>
      </c>
      <c r="BU9" s="1113">
        <f ca="1">BU8</f>
        <v>4073.8728951656708</v>
      </c>
      <c r="BV9" s="1114">
        <f ca="1">MAX(BU9-BT9+BV8,0)</f>
        <v>647.6857903313412</v>
      </c>
    </row>
    <row r="10" spans="2:74" ht="15.75" customHeight="1">
      <c r="S10" s="495"/>
      <c r="T10">
        <v>1</v>
      </c>
      <c r="U10" s="530">
        <f>ROUND('Deterministic Output VicSup'!A3+'Deterministic Output VicSup'!B3+'Deterministic Output VicSup'!C3+'Deterministic Output VicSup'!D3+'Deterministic Output VicSup'!E3+'Deterministic Output VicSup'!F3+'Deterministic Output VicSup'!G3,0)</f>
        <v>70000</v>
      </c>
      <c r="V10" s="530">
        <f>'Deterministic Output VicSup'!P3</f>
        <v>865000</v>
      </c>
      <c r="W10" s="530">
        <f>'Deterministic Output VicSup'!AB3</f>
        <v>26401</v>
      </c>
      <c r="X10" s="530">
        <f>MROUND('Deterministic Output VicSup'!AA3,5)</f>
        <v>865000</v>
      </c>
      <c r="Y10" s="531">
        <f>U10</f>
        <v>70000</v>
      </c>
      <c r="Z10" s="531">
        <f t="shared" ref="Z10:AB10" si="2">V10</f>
        <v>865000</v>
      </c>
      <c r="AA10" s="531">
        <f t="shared" si="2"/>
        <v>26401</v>
      </c>
      <c r="AB10" s="531">
        <f t="shared" si="2"/>
        <v>865000</v>
      </c>
      <c r="AD10" s="489">
        <v>1</v>
      </c>
      <c r="AE10" s="1190">
        <f>ROUND('Deterministic Output'!A3+'Deterministic Output'!B3+'Deterministic Output'!C3+'Deterministic Output'!D3+'Deterministic Output'!E3+'Deterministic Output'!F3+'Deterministic Output'!G3,0)</f>
        <v>70000</v>
      </c>
      <c r="AF10" s="530">
        <f>'Deterministic Output'!P3</f>
        <v>841062.63531047106</v>
      </c>
      <c r="AG10" s="530">
        <f>'Deterministic Output'!AB3</f>
        <v>20713.5</v>
      </c>
      <c r="AH10" s="530">
        <f>MROUND('Deterministic Output'!AA3,5)</f>
        <v>865000</v>
      </c>
      <c r="AI10" s="531">
        <f>AE10</f>
        <v>70000</v>
      </c>
      <c r="AJ10" s="531">
        <f>AF10</f>
        <v>841062.63531047106</v>
      </c>
      <c r="AK10" s="531">
        <f t="shared" ref="AK10" si="3">AG10</f>
        <v>20713.5</v>
      </c>
      <c r="AL10" s="531">
        <f t="shared" ref="AL10" si="4">AH10</f>
        <v>865000</v>
      </c>
      <c r="AN10" s="530">
        <f>'Deterministic Output VicSup'!A3-'Deterministic Output'!A3</f>
        <v>0</v>
      </c>
      <c r="AO10" s="531">
        <f>AN10</f>
        <v>0</v>
      </c>
      <c r="AQ10" s="8" t="s">
        <v>232</v>
      </c>
      <c r="AR10" s="489"/>
      <c r="AS10" s="489"/>
      <c r="AT10" s="938">
        <f ca="1">IF(BF7="Person 1",'Admin Settings'!K5,'Admin Settings'!K6)</f>
        <v>18.41</v>
      </c>
      <c r="AU10" s="938">
        <f ca="1">IF(BG7="Person 1",'Admin Settings'!K5,'Admin Settings'!K6)</f>
        <v>18.41</v>
      </c>
      <c r="AV10" s="489"/>
      <c r="BE10" s="489">
        <v>3</v>
      </c>
      <c r="BF10" s="489">
        <f t="shared" ref="BF10:BF22" ca="1" si="5">BF9*(1+$BF$6)</f>
        <v>5000.04</v>
      </c>
      <c r="BG10" s="489">
        <f t="shared" ref="BG10:BG22" ca="1" si="6">BG9*(1+$BG$6)</f>
        <v>3750.03</v>
      </c>
      <c r="BM10" s="489">
        <v>3</v>
      </c>
      <c r="BN10" s="1113">
        <f t="shared" ca="1" si="0"/>
        <v>89999.92</v>
      </c>
      <c r="BO10" s="1112">
        <f t="shared" ref="BO10:BO22" ca="1" si="7">BF10</f>
        <v>5000.04</v>
      </c>
      <c r="BP10" s="1113">
        <f t="shared" ref="BP10:BP42" ca="1" si="8">BP9</f>
        <v>5431.8305268875611</v>
      </c>
      <c r="BQ10" s="1114">
        <f ca="1">MAX(BP10-BO10+BQ9,0)</f>
        <v>1295.3715806626833</v>
      </c>
      <c r="BR10" s="489">
        <v>3</v>
      </c>
      <c r="BS10" s="1113">
        <f t="shared" ref="BS10:BS22" ca="1" si="9">MAX(0,$BS$8-$AU$11*(AD12-1)+BV9)</f>
        <v>67499.939999999988</v>
      </c>
      <c r="BT10" s="1112">
        <f t="shared" ca="1" si="1"/>
        <v>3750.03</v>
      </c>
      <c r="BU10" s="1113">
        <f t="shared" ref="BU10:BU42" ca="1" si="10">BU9</f>
        <v>4073.8728951656708</v>
      </c>
      <c r="BV10" s="1114">
        <f ca="1">MAX(BU10-BT10+BV9,0)</f>
        <v>971.52868549701179</v>
      </c>
    </row>
    <row r="11" spans="2:74">
      <c r="S11" s="495"/>
      <c r="T11">
        <v>2</v>
      </c>
      <c r="U11" s="530">
        <f>ROUND('Deterministic Output VicSup'!A4+'Deterministic Output VicSup'!B4+'Deterministic Output VicSup'!C4+'Deterministic Output VicSup'!D4+'Deterministic Output VicSup'!E4+'Deterministic Output VicSup'!F4+'Deterministic Output VicSup'!G4,0)</f>
        <v>70000</v>
      </c>
      <c r="V11" s="530">
        <f>'Deterministic Output VicSup'!P4</f>
        <v>804654.72759782162</v>
      </c>
      <c r="W11" s="530">
        <f>'Deterministic Output VicSup'!AB4</f>
        <v>24463.559134734085</v>
      </c>
      <c r="X11" s="530">
        <f>MROUND('Deterministic Output VicSup'!AA4,5)</f>
        <v>804655</v>
      </c>
      <c r="Y11" s="532">
        <f>U11*((1+Settings!$J$63)^1)</f>
        <v>71750</v>
      </c>
      <c r="Z11" s="531">
        <f>V11*((1+Settings!$J$63)^1)</f>
        <v>824771.09578776709</v>
      </c>
      <c r="AA11" s="531">
        <f>W11*((1+Settings!$J$63)^1)</f>
        <v>25075.148113102434</v>
      </c>
      <c r="AB11" s="531">
        <f>X11*((1+Settings!$J$63)^1)</f>
        <v>824771.37499999988</v>
      </c>
      <c r="AC11" s="495"/>
      <c r="AD11" s="495">
        <v>2</v>
      </c>
      <c r="AE11" s="1190">
        <f>ROUND('Deterministic Output'!A4+'Deterministic Output'!B4+'Deterministic Output'!C4+'Deterministic Output'!D4+'Deterministic Output'!E4+'Deterministic Output'!F4+'Deterministic Output'!G4,0)</f>
        <v>70000</v>
      </c>
      <c r="AF11" s="530">
        <f>'Deterministic Output'!P4</f>
        <v>783643.05388629867</v>
      </c>
      <c r="AG11" s="530">
        <f>'Deterministic Output'!AB4</f>
        <v>19019.580297867375</v>
      </c>
      <c r="AH11" s="530">
        <f>MROUND('Deterministic Output'!AA4,5)</f>
        <v>798605</v>
      </c>
      <c r="AI11" s="531">
        <f>AE11*((1+Settings!$J$63)^1)</f>
        <v>71750</v>
      </c>
      <c r="AJ11" s="531">
        <f>AF11*((1+Settings!$J$63)^1)</f>
        <v>803234.13023345603</v>
      </c>
      <c r="AK11" s="531">
        <f>AG11*((1+Settings!$J$63)^1)</f>
        <v>19495.069805314059</v>
      </c>
      <c r="AL11" s="531">
        <f>AH11*((1+Settings!$J$63)^1)</f>
        <v>818570.12499999988</v>
      </c>
      <c r="AN11" s="530">
        <f>'Deterministic Output'!A4-'Deterministic Output VicSup'!A4</f>
        <v>0</v>
      </c>
      <c r="AO11" s="531">
        <f>AN11*((1+Settings!$J$63)^1)</f>
        <v>0</v>
      </c>
      <c r="AQ11" s="8" t="s">
        <v>1122</v>
      </c>
      <c r="AR11" s="489"/>
      <c r="AS11" s="489"/>
      <c r="AT11" s="939">
        <f ca="1">AT9/AT10</f>
        <v>5431.8305268875611</v>
      </c>
      <c r="AU11" s="939">
        <f ca="1">AU9/AU10</f>
        <v>4073.8728951656708</v>
      </c>
      <c r="AV11" s="489"/>
      <c r="AY11" s="8" t="s">
        <v>1237</v>
      </c>
      <c r="AZ11" s="8"/>
      <c r="BE11" s="489">
        <v>4</v>
      </c>
      <c r="BF11" s="489">
        <f t="shared" ca="1" si="5"/>
        <v>5000.04</v>
      </c>
      <c r="BG11" s="489">
        <f t="shared" ca="1" si="6"/>
        <v>3750.03</v>
      </c>
      <c r="BM11" s="489">
        <v>4</v>
      </c>
      <c r="BN11" s="1113">
        <f t="shared" ca="1" si="0"/>
        <v>84999.88</v>
      </c>
      <c r="BO11" s="1112">
        <f t="shared" ca="1" si="7"/>
        <v>5000.04</v>
      </c>
      <c r="BP11" s="1113">
        <f t="shared" ca="1" si="8"/>
        <v>5431.8305268875611</v>
      </c>
      <c r="BQ11" s="1114">
        <f t="shared" ref="BQ11:BQ22" ca="1" si="11">MAX(BP11-BO11+BQ10,0)</f>
        <v>1727.1621075502444</v>
      </c>
      <c r="BR11" s="489">
        <v>4</v>
      </c>
      <c r="BS11" s="1113">
        <f t="shared" ca="1" si="9"/>
        <v>63749.909999999996</v>
      </c>
      <c r="BT11" s="1112">
        <f t="shared" ca="1" si="1"/>
        <v>3750.03</v>
      </c>
      <c r="BU11" s="1113">
        <f t="shared" ca="1" si="10"/>
        <v>4073.8728951656708</v>
      </c>
      <c r="BV11" s="1114">
        <f t="shared" ref="BV11:BV22" ca="1" si="12">MAX(BU11-BT11+BV10,0)</f>
        <v>1295.3715806626824</v>
      </c>
    </row>
    <row r="12" spans="2:74">
      <c r="O12" s="519" t="s">
        <v>580</v>
      </c>
      <c r="P12" s="520"/>
      <c r="Q12" s="521"/>
      <c r="R12" s="521"/>
      <c r="S12" s="495"/>
      <c r="T12" s="489">
        <v>3</v>
      </c>
      <c r="U12" s="530">
        <f>ROUND('Deterministic Output VicSup'!A5+'Deterministic Output VicSup'!B5+'Deterministic Output VicSup'!C5+'Deterministic Output VicSup'!D5+'Deterministic Output VicSup'!E5+'Deterministic Output VicSup'!F5+'Deterministic Output VicSup'!G5,0)</f>
        <v>70000</v>
      </c>
      <c r="V12" s="530">
        <f>'Deterministic Output VicSup'!P5</f>
        <v>743100.1360657867</v>
      </c>
      <c r="W12" s="530">
        <f>'Deterministic Output VicSup'!AB5</f>
        <v>22485.652844045031</v>
      </c>
      <c r="X12" s="530">
        <f>MROUND('Deterministic Output VicSup'!AA5,5)</f>
        <v>743100</v>
      </c>
      <c r="Y12" s="531">
        <f>U12*((1+Settings!$J$63)^2)</f>
        <v>73543.75</v>
      </c>
      <c r="Z12" s="531">
        <f>V12*((1+Settings!$J$63)^2)</f>
        <v>780719.58045411715</v>
      </c>
      <c r="AA12" s="531">
        <f>W12*((1+Settings!$J$63)^2)</f>
        <v>23623.98901927481</v>
      </c>
      <c r="AB12" s="531">
        <f>X12*((1+Settings!$J$63)^2)</f>
        <v>780719.43749999988</v>
      </c>
      <c r="AD12" s="489">
        <v>3</v>
      </c>
      <c r="AE12" s="1190">
        <f>ROUND('Deterministic Output'!A5+'Deterministic Output'!B5+'Deterministic Output'!C5+'Deterministic Output'!D5+'Deterministic Output'!E5+'Deterministic Output'!F5+'Deterministic Output'!G5,0)</f>
        <v>70000</v>
      </c>
      <c r="AF12" s="530">
        <f>'Deterministic Output'!P5</f>
        <v>724607.10962520633</v>
      </c>
      <c r="AG12" s="530">
        <f>'Deterministic Output'!AB5</f>
        <v>17269.078704679374</v>
      </c>
      <c r="AH12" s="530">
        <f>MROUND('Deterministic Output'!AA5,5)</f>
        <v>731060</v>
      </c>
      <c r="AI12" s="531">
        <f>AE12*((1+Settings!$J$63)^2)</f>
        <v>73543.75</v>
      </c>
      <c r="AJ12" s="531">
        <f>AF12*((1+Settings!$J$63)^2)</f>
        <v>761290.34454998234</v>
      </c>
      <c r="AK12" s="531">
        <f>AG12*((1+Settings!$J$63)^2)</f>
        <v>18143.325814103766</v>
      </c>
      <c r="AL12" s="531">
        <f>AH12*((1+Settings!$J$63)^2)</f>
        <v>768069.91249999998</v>
      </c>
      <c r="AN12" s="530">
        <f>'Deterministic Output'!A5-'Deterministic Output VicSup'!A5</f>
        <v>936</v>
      </c>
      <c r="AO12" s="531">
        <f>AN12*((1+Settings!$J$63)^2)</f>
        <v>983.38499999999988</v>
      </c>
      <c r="AQ12" s="8" t="s">
        <v>1123</v>
      </c>
      <c r="AR12" s="489"/>
      <c r="AS12" s="489"/>
      <c r="AT12" s="939">
        <f ca="1">BN23</f>
        <v>24999.399999999994</v>
      </c>
      <c r="AU12" s="939">
        <f ca="1">BS23</f>
        <v>18749.55</v>
      </c>
      <c r="AV12" s="489"/>
      <c r="AY12" s="8" t="s">
        <v>22</v>
      </c>
      <c r="AZ12" s="8" t="s">
        <v>23</v>
      </c>
      <c r="BE12" s="489">
        <v>5</v>
      </c>
      <c r="BF12" s="489">
        <f t="shared" ca="1" si="5"/>
        <v>5000.04</v>
      </c>
      <c r="BG12" s="489">
        <f t="shared" ca="1" si="6"/>
        <v>3750.03</v>
      </c>
      <c r="BM12" s="489">
        <v>5</v>
      </c>
      <c r="BN12" s="1113">
        <f t="shared" ca="1" si="0"/>
        <v>79999.839999999997</v>
      </c>
      <c r="BO12" s="1112">
        <f t="shared" ca="1" si="7"/>
        <v>5000.04</v>
      </c>
      <c r="BP12" s="1113">
        <f t="shared" ca="1" si="8"/>
        <v>5431.8305268875611</v>
      </c>
      <c r="BQ12" s="1114">
        <f t="shared" ca="1" si="11"/>
        <v>2158.9526344378055</v>
      </c>
      <c r="BR12" s="489">
        <v>5</v>
      </c>
      <c r="BS12" s="1113">
        <f t="shared" ca="1" si="9"/>
        <v>59999.880000000005</v>
      </c>
      <c r="BT12" s="1112">
        <f t="shared" ca="1" si="1"/>
        <v>3750.03</v>
      </c>
      <c r="BU12" s="1113">
        <f t="shared" ca="1" si="10"/>
        <v>4073.8728951656708</v>
      </c>
      <c r="BV12" s="1114">
        <f t="shared" ca="1" si="12"/>
        <v>1619.214475828353</v>
      </c>
    </row>
    <row r="13" spans="2:74">
      <c r="C13" t="s">
        <v>882</v>
      </c>
      <c r="D13" t="s">
        <v>576</v>
      </c>
      <c r="E13" t="s">
        <v>578</v>
      </c>
      <c r="O13" s="522" t="s">
        <v>581</v>
      </c>
      <c r="P13" s="523" t="s">
        <v>582</v>
      </c>
      <c r="Q13" s="524" t="s">
        <v>4</v>
      </c>
      <c r="R13" s="524" t="s">
        <v>5</v>
      </c>
      <c r="S13" s="495"/>
      <c r="T13" s="489">
        <v>4</v>
      </c>
      <c r="U13" s="530">
        <f>ROUND('Deterministic Output VicSup'!A6+'Deterministic Output VicSup'!B6+'Deterministic Output VicSup'!C6+'Deterministic Output VicSup'!D6+'Deterministic Output VicSup'!E6+'Deterministic Output VicSup'!F6+'Deterministic Output VicSup'!G6,0)</f>
        <v>70000</v>
      </c>
      <c r="V13" s="530">
        <f>'Deterministic Output VicSup'!P6</f>
        <v>684365.94996721239</v>
      </c>
      <c r="W13" s="530">
        <f>'Deterministic Output VicSup'!AB6</f>
        <v>20598.307877286479</v>
      </c>
      <c r="X13" s="530">
        <f>MROUND('Deterministic Output VicSup'!AA6,5)</f>
        <v>684365</v>
      </c>
      <c r="Y13" s="531">
        <f>U13*((1+Settings!$J$63)^3)</f>
        <v>75382.343749999985</v>
      </c>
      <c r="Z13" s="531">
        <f>V13*((1+Settings!$J$63)^3)</f>
        <v>736987.27558890998</v>
      </c>
      <c r="AA13" s="531">
        <f>W13*((1+Settings!$J$63)^3)</f>
        <v>22182.124643913456</v>
      </c>
      <c r="AB13" s="531">
        <f>X13*((1+Settings!$J$63)^3)</f>
        <v>736986.25257812487</v>
      </c>
      <c r="AD13" s="489">
        <v>4</v>
      </c>
      <c r="AE13" s="1190">
        <f>ROUND('Deterministic Output'!A6+'Deterministic Output'!B6+'Deterministic Output'!C6+'Deterministic Output'!D6+'Deterministic Output'!E6+'Deterministic Output'!F6+'Deterministic Output'!G6,0)</f>
        <v>70000</v>
      </c>
      <c r="AF13" s="530">
        <f>'Deterministic Output'!P6</f>
        <v>667766.97016613954</v>
      </c>
      <c r="AG13" s="530">
        <f>'Deterministic Output'!AB6</f>
        <v>15623.768939933363</v>
      </c>
      <c r="AH13" s="530">
        <f>MROUND('Deterministic Output'!AA6,5)</f>
        <v>667325</v>
      </c>
      <c r="AI13" s="531">
        <f>AE13*((1+Settings!$J$63)^3)</f>
        <v>75382.343749999985</v>
      </c>
      <c r="AJ13" s="531">
        <f>AF13*((1+Settings!$J$63)^3)</f>
        <v>719111.98985657026</v>
      </c>
      <c r="AK13" s="531">
        <f>AG13*((1+Settings!$J$63)^3)</f>
        <v>16825.090298580424</v>
      </c>
      <c r="AL13" s="531">
        <f>AH13*((1+Settings!$J$63)^3)</f>
        <v>718636.03632812493</v>
      </c>
      <c r="AN13" s="530">
        <f>'Deterministic Output'!A6-'Deterministic Output VicSup'!A6</f>
        <v>1326</v>
      </c>
      <c r="AO13" s="531">
        <f>AN13*((1+Settings!$J$63)^3)</f>
        <v>1427.9569687499998</v>
      </c>
      <c r="AQ13" s="8" t="s">
        <v>671</v>
      </c>
      <c r="AR13" s="489"/>
      <c r="AS13" s="489"/>
      <c r="AT13" s="534">
        <f ca="1">AL3</f>
        <v>75000</v>
      </c>
      <c r="AU13" s="534">
        <f ca="1">AL4</f>
        <v>56250</v>
      </c>
      <c r="AV13" s="489"/>
      <c r="AX13" t="s">
        <v>1232</v>
      </c>
      <c r="AY13" s="12">
        <f>IF(Relationship="Single",AX9,AX9*0.5)</f>
        <v>24176.899966063836</v>
      </c>
      <c r="AZ13" s="12">
        <f>IF(Relationship="Single",0,AX9*0.5)</f>
        <v>24176.899966063836</v>
      </c>
      <c r="BA13" s="12"/>
      <c r="BE13" s="489">
        <v>6</v>
      </c>
      <c r="BF13" s="489">
        <f t="shared" ca="1" si="5"/>
        <v>5000.04</v>
      </c>
      <c r="BG13" s="489">
        <f t="shared" ca="1" si="6"/>
        <v>3750.03</v>
      </c>
      <c r="BM13" s="489">
        <v>6</v>
      </c>
      <c r="BN13" s="1113">
        <f t="shared" ca="1" si="0"/>
        <v>74999.8</v>
      </c>
      <c r="BO13" s="1112">
        <f t="shared" ca="1" si="7"/>
        <v>5000.04</v>
      </c>
      <c r="BP13" s="1113">
        <f t="shared" ca="1" si="8"/>
        <v>5431.8305268875611</v>
      </c>
      <c r="BQ13" s="1114">
        <f t="shared" ca="1" si="11"/>
        <v>2590.7431613253666</v>
      </c>
      <c r="BR13" s="489">
        <v>6</v>
      </c>
      <c r="BS13" s="1113">
        <f t="shared" ca="1" si="9"/>
        <v>56249.85</v>
      </c>
      <c r="BT13" s="1112">
        <f t="shared" ca="1" si="1"/>
        <v>3750.03</v>
      </c>
      <c r="BU13" s="1113">
        <f t="shared" ca="1" si="10"/>
        <v>4073.8728951656708</v>
      </c>
      <c r="BV13" s="1114">
        <f t="shared" ca="1" si="12"/>
        <v>1943.0573709940236</v>
      </c>
    </row>
    <row r="14" spans="2:74">
      <c r="B14">
        <v>1</v>
      </c>
      <c r="C14" s="12">
        <f>'Deterministic Output'!A3</f>
        <v>2308.3619178082195</v>
      </c>
      <c r="D14" s="12">
        <f>'Deterministic Output VicSup'!A3</f>
        <v>2308.3619178082195</v>
      </c>
      <c r="E14" s="12">
        <f>'Test Sheet'!AP31</f>
        <v>34382.400000000001</v>
      </c>
      <c r="O14" s="525">
        <v>183</v>
      </c>
      <c r="P14" s="526">
        <v>12966</v>
      </c>
      <c r="Q14" s="527">
        <v>60</v>
      </c>
      <c r="R14" s="527">
        <v>65</v>
      </c>
      <c r="S14" s="495"/>
      <c r="T14" s="489">
        <v>5</v>
      </c>
      <c r="U14" s="530">
        <f>ROUND('Deterministic Output VicSup'!A7+'Deterministic Output VicSup'!B7+'Deterministic Output VicSup'!C7+'Deterministic Output VicSup'!D7+'Deterministic Output VicSup'!E7+'Deterministic Output VicSup'!F7+'Deterministic Output VicSup'!G7,0)</f>
        <v>70000</v>
      </c>
      <c r="V14" s="530">
        <f>'Deterministic Output VicSup'!P7</f>
        <v>629426.34554600413</v>
      </c>
      <c r="W14" s="530">
        <f>'Deterministic Output VicSup'!AB7</f>
        <v>18833.244776785417</v>
      </c>
      <c r="X14" s="530">
        <f>MROUND('Deterministic Output VicSup'!AA7,5)</f>
        <v>629425</v>
      </c>
      <c r="Y14" s="531">
        <f>U14*((1+Settings!$J$63)^4)</f>
        <v>77266.902343749985</v>
      </c>
      <c r="Z14" s="531">
        <f>V14*((1+Settings!$J$63)^4)</f>
        <v>694768.91391266475</v>
      </c>
      <c r="AA14" s="531">
        <f>W14*((1+Settings!$J$63)^4)</f>
        <v>20788.378356911689</v>
      </c>
      <c r="AB14" s="531">
        <f>X14*((1+Settings!$J$63)^4)</f>
        <v>694767.42868164042</v>
      </c>
      <c r="AD14" s="489">
        <v>5</v>
      </c>
      <c r="AE14" s="1190">
        <f>ROUND('Deterministic Output'!A7+'Deterministic Output'!B7+'Deterministic Output'!C7+'Deterministic Output'!D7+'Deterministic Output'!E7+'Deterministic Output'!F7+'Deterministic Output'!G7,0)</f>
        <v>70000</v>
      </c>
      <c r="AF14" s="530">
        <f>'Deterministic Output'!P7</f>
        <v>614965.8317525282</v>
      </c>
      <c r="AG14" s="530">
        <f>'Deterministic Output'!AB7</f>
        <v>14098.919184063263</v>
      </c>
      <c r="AH14" s="530">
        <f>MROUND('Deterministic Output'!AA7,5)</f>
        <v>607850</v>
      </c>
      <c r="AI14" s="531">
        <f>AE14*((1+Settings!$J$63)^4)</f>
        <v>77266.902343749985</v>
      </c>
      <c r="AJ14" s="531">
        <f>AF14*((1+Settings!$J$63)^4)</f>
        <v>678807.21238236537</v>
      </c>
      <c r="AK14" s="531">
        <f>AG14*((1+Settings!$J$63)^4)</f>
        <v>15562.568739249133</v>
      </c>
      <c r="AL14" s="531">
        <f>AH14*((1+Settings!$J$63)^4)</f>
        <v>670952.6655664061</v>
      </c>
      <c r="AN14" s="530">
        <f>'Deterministic Output'!A7-'Deterministic Output VicSup'!A7</f>
        <v>1677</v>
      </c>
      <c r="AO14" s="531">
        <f>AN14*((1+Settings!$J$63)^4)</f>
        <v>1851.0942175781247</v>
      </c>
      <c r="AQ14" s="946" t="s">
        <v>1124</v>
      </c>
      <c r="AR14" s="946"/>
      <c r="AS14" s="946"/>
      <c r="AT14" s="947">
        <f ca="1">AT13-AT12</f>
        <v>50000.600000000006</v>
      </c>
      <c r="AU14" s="947">
        <f ca="1">AU13-AU12</f>
        <v>37500.449999999997</v>
      </c>
      <c r="AV14" s="489"/>
      <c r="AX14" t="s">
        <v>894</v>
      </c>
      <c r="AY14" s="1126">
        <f>IF(Relationship="Single",AY9,AY9*0.5)</f>
        <v>3313.0854718031646</v>
      </c>
      <c r="AZ14" s="1126">
        <f>IF(Relationship="Single",0,AY9*0.5)</f>
        <v>3313.0854718031646</v>
      </c>
      <c r="BA14" s="1126"/>
      <c r="BE14" s="489">
        <v>7</v>
      </c>
      <c r="BF14" s="489">
        <f t="shared" ca="1" si="5"/>
        <v>5000.04</v>
      </c>
      <c r="BG14" s="489">
        <f t="shared" ca="1" si="6"/>
        <v>3750.03</v>
      </c>
      <c r="BM14" s="489">
        <v>7</v>
      </c>
      <c r="BN14" s="1113">
        <f t="shared" ca="1" si="0"/>
        <v>69999.760000000009</v>
      </c>
      <c r="BO14" s="1112">
        <f t="shared" ca="1" si="7"/>
        <v>5000.04</v>
      </c>
      <c r="BP14" s="1113">
        <f t="shared" ca="1" si="8"/>
        <v>5431.8305268875611</v>
      </c>
      <c r="BQ14" s="1114">
        <f t="shared" ca="1" si="11"/>
        <v>3022.5336882129277</v>
      </c>
      <c r="BR14" s="489">
        <v>7</v>
      </c>
      <c r="BS14" s="1113">
        <f t="shared" ca="1" si="9"/>
        <v>52499.819999999992</v>
      </c>
      <c r="BT14" s="1112">
        <f t="shared" ca="1" si="1"/>
        <v>3750.03</v>
      </c>
      <c r="BU14" s="1113">
        <f t="shared" ca="1" si="10"/>
        <v>4073.8728951656708</v>
      </c>
      <c r="BV14" s="1114">
        <f t="shared" ca="1" si="12"/>
        <v>2266.9002661596942</v>
      </c>
    </row>
    <row r="15" spans="2:74">
      <c r="B15">
        <v>2</v>
      </c>
      <c r="C15" s="12">
        <f>'Deterministic Output'!A4</f>
        <v>1910.5560975609756</v>
      </c>
      <c r="D15" s="12">
        <f>'Deterministic Output VicSup'!A4</f>
        <v>1910.5560975609756</v>
      </c>
      <c r="E15" s="12">
        <f>'Test Sheet'!AP32</f>
        <v>34368.956097560978</v>
      </c>
      <c r="O15" s="525">
        <v>12966</v>
      </c>
      <c r="P15" s="528">
        <v>13515</v>
      </c>
      <c r="Q15" s="527">
        <v>60.5</v>
      </c>
      <c r="R15" s="527">
        <v>65</v>
      </c>
      <c r="S15" s="495"/>
      <c r="T15" s="489">
        <v>6</v>
      </c>
      <c r="U15" s="530">
        <f>ROUND('Deterministic Output VicSup'!A8+'Deterministic Output VicSup'!B8+'Deterministic Output VicSup'!C8+'Deterministic Output VicSup'!D8+'Deterministic Output VicSup'!E8+'Deterministic Output VicSup'!F8+'Deterministic Output VicSup'!G8,0)</f>
        <v>70000</v>
      </c>
      <c r="V15" s="530">
        <f>'Deterministic Output VicSup'!P8</f>
        <v>578063.18057462689</v>
      </c>
      <c r="W15" s="530">
        <f>'Deterministic Output VicSup'!AB8</f>
        <v>17183.426080435438</v>
      </c>
      <c r="X15" s="530">
        <f>MROUND('Deterministic Output VicSup'!AA8,5)</f>
        <v>578065</v>
      </c>
      <c r="Y15" s="531">
        <f>U15*((1+Settings!$J$63)^5)</f>
        <v>79198.574902343724</v>
      </c>
      <c r="Z15" s="531">
        <f>V15*((1+Settings!$J$63)^5)</f>
        <v>654025.4300718091</v>
      </c>
      <c r="AA15" s="531">
        <f>W15*((1+Settings!$J$63)^5)</f>
        <v>19441.469393003608</v>
      </c>
      <c r="AB15" s="531">
        <f>X15*((1+Settings!$J$63)^5)</f>
        <v>654027.4885846189</v>
      </c>
      <c r="AD15" s="489">
        <v>6</v>
      </c>
      <c r="AE15" s="1190">
        <f>ROUND('Deterministic Output'!A8+'Deterministic Output'!B8+'Deterministic Output'!C8+'Deterministic Output'!D8+'Deterministic Output'!E8+'Deterministic Output'!F8+'Deterministic Output'!G8,0)</f>
        <v>70000</v>
      </c>
      <c r="AF15" s="530">
        <f>'Deterministic Output'!P8</f>
        <v>566250.88332982536</v>
      </c>
      <c r="AG15" s="530">
        <f>'Deterministic Output'!AB8</f>
        <v>12696.504710240022</v>
      </c>
      <c r="AH15" s="530">
        <f>MROUND('Deterministic Output'!AA8,5)</f>
        <v>552670</v>
      </c>
      <c r="AI15" s="531">
        <f>AE15*((1+Settings!$J$63)^5)</f>
        <v>79198.574902343724</v>
      </c>
      <c r="AJ15" s="531">
        <f>AF15*((1+Settings!$J$63)^5)</f>
        <v>640660.89995593531</v>
      </c>
      <c r="AK15" s="531">
        <f>AG15*((1+Settings!$J$63)^5)</f>
        <v>14364.929704170061</v>
      </c>
      <c r="AL15" s="531">
        <f>AH15*((1+Settings!$J$63)^5)</f>
        <v>625295.37701826158</v>
      </c>
      <c r="AN15" s="530">
        <f>'Deterministic Output'!A8-'Deterministic Output VicSup'!A8</f>
        <v>1989</v>
      </c>
      <c r="AO15" s="531">
        <f>AN15*((1+Settings!$J$63)^5)</f>
        <v>2250.3709354394523</v>
      </c>
      <c r="AQ15" s="8" t="s">
        <v>179</v>
      </c>
      <c r="AR15" s="944"/>
      <c r="AS15" s="944"/>
      <c r="AT15" s="945">
        <f>AY18</f>
        <v>27489.985437867002</v>
      </c>
      <c r="AU15" s="945">
        <f>AZ18</f>
        <v>27489.985437867002</v>
      </c>
      <c r="AV15" s="489"/>
      <c r="AX15" t="s">
        <v>176</v>
      </c>
      <c r="AY15" s="939">
        <f>IF(AnnuityMoney="Term deposit/Cash (non-super)",MAX(0,BF22-'Age Pension additional calcs'!AT11),0)</f>
        <v>0</v>
      </c>
      <c r="AZ15" s="939">
        <f>IF('Age Pension Calculator'!V8="Single",0,IF(AnnuityMoney="Term deposit/Cash (non-super)",MAX(0,BG22-'Age Pension additional calcs'!AU11),0))</f>
        <v>0</v>
      </c>
      <c r="BE15" s="489">
        <v>8</v>
      </c>
      <c r="BF15" s="489">
        <f t="shared" ca="1" si="5"/>
        <v>5000.04</v>
      </c>
      <c r="BG15" s="489">
        <f t="shared" ca="1" si="6"/>
        <v>3750.03</v>
      </c>
      <c r="BM15" s="489">
        <v>8</v>
      </c>
      <c r="BN15" s="1113">
        <f t="shared" ca="1" si="0"/>
        <v>64999.72</v>
      </c>
      <c r="BO15" s="1112">
        <f t="shared" ca="1" si="7"/>
        <v>5000.04</v>
      </c>
      <c r="BP15" s="1113">
        <f t="shared" ca="1" si="8"/>
        <v>5431.8305268875611</v>
      </c>
      <c r="BQ15" s="1114">
        <f t="shared" ca="1" si="11"/>
        <v>3454.3242151004888</v>
      </c>
      <c r="BR15" s="489">
        <v>8</v>
      </c>
      <c r="BS15" s="1113">
        <f t="shared" ca="1" si="9"/>
        <v>48749.79</v>
      </c>
      <c r="BT15" s="1112">
        <f t="shared" ca="1" si="1"/>
        <v>3750.03</v>
      </c>
      <c r="BU15" s="1113">
        <f t="shared" ca="1" si="10"/>
        <v>4073.8728951656708</v>
      </c>
      <c r="BV15" s="1114">
        <f t="shared" ca="1" si="12"/>
        <v>2590.7431613253648</v>
      </c>
    </row>
    <row r="16" spans="2:74" ht="16.5" thickBot="1">
      <c r="B16">
        <v>3</v>
      </c>
      <c r="C16" s="12">
        <f>'Deterministic Output'!A5</f>
        <v>6470.8400951814401</v>
      </c>
      <c r="D16" s="12">
        <f>'Deterministic Output VicSup'!A5</f>
        <v>5534.8400951814401</v>
      </c>
      <c r="E16" s="12">
        <f>'Test Sheet'!AP33</f>
        <v>34355.84009518144</v>
      </c>
      <c r="O16" s="525">
        <v>13697</v>
      </c>
      <c r="P16" s="528">
        <v>14061</v>
      </c>
      <c r="Q16" s="527">
        <v>61</v>
      </c>
      <c r="R16" s="527">
        <v>65</v>
      </c>
      <c r="S16" s="495"/>
      <c r="T16" s="489">
        <v>7</v>
      </c>
      <c r="U16" s="530">
        <f>ROUND('Deterministic Output VicSup'!A9+'Deterministic Output VicSup'!B9+'Deterministic Output VicSup'!C9+'Deterministic Output VicSup'!D9+'Deterministic Output VicSup'!E9+'Deterministic Output VicSup'!F9+'Deterministic Output VicSup'!G9,0)</f>
        <v>70000</v>
      </c>
      <c r="V16" s="530">
        <f>'Deterministic Output VicSup'!P9</f>
        <v>530054.92562480597</v>
      </c>
      <c r="W16" s="530">
        <f>'Deterministic Output VicSup'!AB9</f>
        <v>15641.684896817724</v>
      </c>
      <c r="X16" s="530">
        <f>MROUND('Deterministic Output VicSup'!AA9,5)</f>
        <v>530055</v>
      </c>
      <c r="Y16" s="531">
        <f>U16*((1+Settings!$J$63)^6)</f>
        <v>81178.539274902316</v>
      </c>
      <c r="Z16" s="531">
        <f>V16*((1+Settings!$J$63)^6)</f>
        <v>614701.20853841049</v>
      </c>
      <c r="AA16" s="531">
        <f>W16*((1+Settings!$J$63)^6)</f>
        <v>18139.559024599483</v>
      </c>
      <c r="AB16" s="531">
        <f>X16*((1+Settings!$J$63)^6)</f>
        <v>614701.29479083349</v>
      </c>
      <c r="AD16" s="489">
        <v>7</v>
      </c>
      <c r="AE16" s="1190">
        <f>ROUND('Deterministic Output'!A9+'Deterministic Output'!B9+'Deterministic Output'!C9+'Deterministic Output'!D9+'Deterministic Output'!E9+'Deterministic Output'!F9+'Deterministic Output'!G9,0)</f>
        <v>70000</v>
      </c>
      <c r="AF16" s="530">
        <f>'Deterministic Output'!P9</f>
        <v>522196.73161751067</v>
      </c>
      <c r="AG16" s="530">
        <f>'Deterministic Output'!AB9</f>
        <v>11435.561131941484</v>
      </c>
      <c r="AH16" s="530">
        <f>MROUND('Deterministic Output'!AA9,5)</f>
        <v>502360</v>
      </c>
      <c r="AI16" s="531">
        <f>AE16*((1+Settings!$J$63)^6)</f>
        <v>81178.539274902316</v>
      </c>
      <c r="AJ16" s="531">
        <f>AF16*((1+Settings!$J$63)^6)</f>
        <v>605588.11266911018</v>
      </c>
      <c r="AK16" s="531">
        <f>AG16*((1+Settings!$J$63)^6)</f>
        <v>13261.744978283687</v>
      </c>
      <c r="AL16" s="531">
        <f>AH16*((1+Settings!$J$63)^6)</f>
        <v>582583.5855734275</v>
      </c>
      <c r="AN16" s="530">
        <f>'Deterministic Output'!A9-'Deterministic Output VicSup'!A9</f>
        <v>2145</v>
      </c>
      <c r="AO16" s="531">
        <f>AN16*((1+Settings!$J$63)^6)</f>
        <v>2487.5423820666492</v>
      </c>
      <c r="AQ16" s="940" t="s">
        <v>1134</v>
      </c>
      <c r="AR16" s="940"/>
      <c r="AS16" s="940"/>
      <c r="AT16" s="941">
        <f ca="1">MAX(0,AT15+AT14)</f>
        <v>77490.585437867005</v>
      </c>
      <c r="AU16" s="941">
        <f ca="1">MAX(0,AU15+AU14)</f>
        <v>64990.435437866996</v>
      </c>
      <c r="AV16" s="489"/>
      <c r="AX16" t="s">
        <v>602</v>
      </c>
      <c r="AY16" s="12">
        <f>IF(APCYearsOfEmploymentPerson1&gt;=15,(APCEmploymentIncomePerson1*((1+Settings!$J$63)^14)*26),0)</f>
        <v>0</v>
      </c>
      <c r="AZ16" s="12">
        <f>IF(Relationship="Single",0,IF(APCYearsOfEmploymentPerson2&gt;=15,(APCEmploymentIncomePerson2*((1+Settings!$J$63)^14)*26),0))</f>
        <v>0</v>
      </c>
      <c r="BA16" s="12"/>
      <c r="BE16" s="489">
        <v>9</v>
      </c>
      <c r="BF16" s="489">
        <f t="shared" ca="1" si="5"/>
        <v>5000.04</v>
      </c>
      <c r="BG16" s="489">
        <f t="shared" ca="1" si="6"/>
        <v>3750.03</v>
      </c>
      <c r="BM16" s="489">
        <v>9</v>
      </c>
      <c r="BN16" s="1113">
        <f t="shared" ca="1" si="0"/>
        <v>59999.68</v>
      </c>
      <c r="BO16" s="1112">
        <f t="shared" ca="1" si="7"/>
        <v>5000.04</v>
      </c>
      <c r="BP16" s="1113">
        <f t="shared" ca="1" si="8"/>
        <v>5431.8305268875611</v>
      </c>
      <c r="BQ16" s="1114">
        <f t="shared" ca="1" si="11"/>
        <v>3886.1147419880499</v>
      </c>
      <c r="BR16" s="489">
        <v>9</v>
      </c>
      <c r="BS16" s="1113">
        <f t="shared" ca="1" si="9"/>
        <v>44999.76</v>
      </c>
      <c r="BT16" s="1112">
        <f t="shared" ca="1" si="1"/>
        <v>3750.03</v>
      </c>
      <c r="BU16" s="1113">
        <f t="shared" ca="1" si="10"/>
        <v>4073.8728951656708</v>
      </c>
      <c r="BV16" s="1114">
        <f t="shared" ca="1" si="12"/>
        <v>2914.5860564910354</v>
      </c>
    </row>
    <row r="17" spans="2:74">
      <c r="B17" s="489">
        <v>4</v>
      </c>
      <c r="C17" s="12">
        <f>'Deterministic Output'!A6</f>
        <v>11411.043995298969</v>
      </c>
      <c r="D17" s="12">
        <f>'Deterministic Output VicSup'!A6</f>
        <v>10085.043995298969</v>
      </c>
      <c r="E17" s="12">
        <f>'Test Sheet'!AP34</f>
        <v>34343.043995298969</v>
      </c>
      <c r="O17" s="525">
        <v>14062</v>
      </c>
      <c r="P17" s="528">
        <v>14610</v>
      </c>
      <c r="Q17" s="527">
        <v>61.5</v>
      </c>
      <c r="R17" s="527">
        <v>65</v>
      </c>
      <c r="S17" s="495"/>
      <c r="T17" s="489">
        <v>8</v>
      </c>
      <c r="U17" s="530">
        <f>ROUND('Deterministic Output VicSup'!A10+'Deterministic Output VicSup'!B10+'Deterministic Output VicSup'!C10+'Deterministic Output VicSup'!D10+'Deterministic Output VicSup'!E10+'Deterministic Output VicSup'!F10+'Deterministic Output VicSup'!G10,0)</f>
        <v>70000</v>
      </c>
      <c r="V17" s="530">
        <f>'Deterministic Output VicSup'!P10</f>
        <v>485176.60230928601</v>
      </c>
      <c r="W17" s="530">
        <f>'Deterministic Output VicSup'!AB10</f>
        <v>14200.729765035585</v>
      </c>
      <c r="X17" s="530">
        <f>MROUND('Deterministic Output VicSup'!AA10,5)</f>
        <v>485175</v>
      </c>
      <c r="Y17" s="531">
        <f>U17*((1+Settings!$J$63)^7)</f>
        <v>83208.002756774877</v>
      </c>
      <c r="Z17" s="531">
        <f>V17*((1+Settings!$J$63)^7)</f>
        <v>576722.51517819625</v>
      </c>
      <c r="AA17" s="531">
        <f>W17*((1+Settings!$J$63)^7)</f>
        <v>16880.205163389943</v>
      </c>
      <c r="AB17" s="531">
        <f>X17*((1+Settings!$J$63)^7)</f>
        <v>576720.61053597496</v>
      </c>
      <c r="AD17" s="489">
        <v>8</v>
      </c>
      <c r="AE17" s="1190">
        <f>ROUND('Deterministic Output'!A10+'Deterministic Output'!B10+'Deterministic Output'!C10+'Deterministic Output'!D10+'Deterministic Output'!E10+'Deterministic Output'!F10+'Deterministic Output'!G10,0)</f>
        <v>70000</v>
      </c>
      <c r="AF17" s="530">
        <f>'Deterministic Output'!P10</f>
        <v>481858.1640165748</v>
      </c>
      <c r="AG17" s="530">
        <f>'Deterministic Output'!AB10</f>
        <v>10285.767445796571</v>
      </c>
      <c r="AH17" s="530">
        <f>MROUND('Deterministic Output'!AA10,5)</f>
        <v>455960</v>
      </c>
      <c r="AI17" s="531">
        <f>AE17*((1+Settings!$J$63)^7)</f>
        <v>83208.002756774877</v>
      </c>
      <c r="AJ17" s="531">
        <f>AF17*((1+Settings!$J$63)^7)</f>
        <v>572777.9348552234</v>
      </c>
      <c r="AK17" s="531">
        <f>AG17*((1+Settings!$J$63)^7)</f>
        <v>12226.545228362662</v>
      </c>
      <c r="AL17" s="531">
        <f>AH17*((1+Settings!$J$63)^7)</f>
        <v>541993.15624255815</v>
      </c>
      <c r="AN17" s="530">
        <f>'Deterministic Output'!A10-'Deterministic Output VicSup'!A10</f>
        <v>2262</v>
      </c>
      <c r="AO17" s="531">
        <f>AN17*((1+Settings!$J$63)^7)</f>
        <v>2688.8071747974968</v>
      </c>
      <c r="AV17" s="489"/>
      <c r="AX17" t="s">
        <v>179</v>
      </c>
      <c r="AY17" s="1126">
        <f>IF(Relationship="Single",BA9-(AY16+AZ16),(BA9-(AY16+AZ16))*0.5)</f>
        <v>0</v>
      </c>
      <c r="AZ17" s="1126">
        <f>IF(Relationship="Single",0,(BA9-(AY16+AZ16))*0.5)</f>
        <v>0</v>
      </c>
      <c r="BA17" s="1126"/>
      <c r="BE17" s="489">
        <v>10</v>
      </c>
      <c r="BF17" s="489">
        <f t="shared" ca="1" si="5"/>
        <v>5000.04</v>
      </c>
      <c r="BG17" s="489">
        <f t="shared" ca="1" si="6"/>
        <v>3750.03</v>
      </c>
      <c r="BM17" s="489">
        <v>10</v>
      </c>
      <c r="BN17" s="1113">
        <f t="shared" ca="1" si="0"/>
        <v>54999.64</v>
      </c>
      <c r="BO17" s="1112">
        <f t="shared" ca="1" si="7"/>
        <v>5000.04</v>
      </c>
      <c r="BP17" s="1113">
        <f t="shared" ca="1" si="8"/>
        <v>5431.8305268875611</v>
      </c>
      <c r="BQ17" s="1114">
        <f t="shared" ca="1" si="11"/>
        <v>4317.905268875611</v>
      </c>
      <c r="BR17" s="489">
        <v>10</v>
      </c>
      <c r="BS17" s="1113">
        <f t="shared" ca="1" si="9"/>
        <v>41249.729999999996</v>
      </c>
      <c r="BT17" s="1112">
        <f t="shared" ca="1" si="1"/>
        <v>3750.03</v>
      </c>
      <c r="BU17" s="1113">
        <f t="shared" ca="1" si="10"/>
        <v>4073.8728951656708</v>
      </c>
      <c r="BV17" s="1114">
        <f t="shared" ca="1" si="12"/>
        <v>3238.428951656706</v>
      </c>
    </row>
    <row r="18" spans="2:74">
      <c r="B18" s="489">
        <v>5</v>
      </c>
      <c r="C18" s="12">
        <f>'Deterministic Output'!A7</f>
        <v>16039.559995413627</v>
      </c>
      <c r="D18" s="12">
        <f>'Deterministic Output VicSup'!A7</f>
        <v>14362.559995413627</v>
      </c>
      <c r="E18" s="12">
        <f>'Test Sheet'!AP35</f>
        <v>34330.559995413627</v>
      </c>
      <c r="O18" s="525">
        <v>14611</v>
      </c>
      <c r="P18" s="528">
        <v>15157</v>
      </c>
      <c r="Q18" s="527">
        <v>62</v>
      </c>
      <c r="R18" s="527">
        <v>65</v>
      </c>
      <c r="S18" s="495"/>
      <c r="T18" s="489">
        <v>9</v>
      </c>
      <c r="U18" s="530">
        <f>ROUND('Deterministic Output VicSup'!A11+'Deterministic Output VicSup'!B11+'Deterministic Output VicSup'!C11+'Deterministic Output VicSup'!D11+'Deterministic Output VicSup'!E11+'Deterministic Output VicSup'!F11+'Deterministic Output VicSup'!G11,0)</f>
        <v>70000</v>
      </c>
      <c r="V18" s="530">
        <f>'Deterministic Output VicSup'!P11</f>
        <v>443239.0385069552</v>
      </c>
      <c r="W18" s="530">
        <f>'Deterministic Output VicSup'!AB11</f>
        <v>12854.524560898437</v>
      </c>
      <c r="X18" s="530">
        <f>MROUND('Deterministic Output VicSup'!AA11,5)</f>
        <v>443240</v>
      </c>
      <c r="Y18" s="531">
        <f>U18*((1+Settings!$J$63)^8)</f>
        <v>85288.202825694243</v>
      </c>
      <c r="Z18" s="531">
        <f>V18*((1+Settings!$J$63)^8)</f>
        <v>540043.72880638426</v>
      </c>
      <c r="AA18" s="531">
        <f>W18*((1+Settings!$J$63)^8)</f>
        <v>15661.989971111057</v>
      </c>
      <c r="AB18" s="531">
        <f>X18*((1+Settings!$J$63)^8)</f>
        <v>540044.90029229596</v>
      </c>
      <c r="AD18" s="489">
        <v>9</v>
      </c>
      <c r="AE18" s="1190">
        <f>ROUND('Deterministic Output'!A11+'Deterministic Output'!B11+'Deterministic Output'!C11+'Deterministic Output'!D11+'Deterministic Output'!E11+'Deterministic Output'!F11+'Deterministic Output'!G11,0)</f>
        <v>70000</v>
      </c>
      <c r="AF18" s="530">
        <f>'Deterministic Output'!P11</f>
        <v>444980.18138185074</v>
      </c>
      <c r="AG18" s="530">
        <f>'Deterministic Output'!AB11</f>
        <v>9239.1651178503162</v>
      </c>
      <c r="AH18" s="530">
        <f>MROUND('Deterministic Output'!AA11,5)</f>
        <v>413215</v>
      </c>
      <c r="AI18" s="531">
        <f>AE18*((1+Settings!$J$63)^8)</f>
        <v>85288.202825694243</v>
      </c>
      <c r="AJ18" s="531">
        <f>AF18*((1+Settings!$J$63)^8)</f>
        <v>542165.14233013568</v>
      </c>
      <c r="AK18" s="531">
        <f>AG18*((1+Settings!$J$63)^8)</f>
        <v>11257.025550161385</v>
      </c>
      <c r="AL18" s="531">
        <f>AH18*((1+Settings!$J$63)^8)</f>
        <v>503462.35329456063</v>
      </c>
      <c r="AN18" s="530">
        <f>'Deterministic Output'!A11-'Deterministic Output VicSup'!A11</f>
        <v>2340</v>
      </c>
      <c r="AO18" s="531">
        <f>AN18*((1+Settings!$J$63)^8)</f>
        <v>2851.0627801732076</v>
      </c>
      <c r="AQ18" s="942"/>
      <c r="AR18" s="489"/>
      <c r="AS18" s="48" t="s">
        <v>1135</v>
      </c>
      <c r="AT18" s="950">
        <f ca="1">(VLOOKUP(TaxableIncomePerson1,TaxTable_1,2,TRUE))+((TaxableIncomePerson1-VLOOKUP(TaxableIncomePerson1,TaxTable_1,1,TRUE))*VLOOKUP(TaxableIncomePerson1,TaxTable_1,3,TRUE))</f>
        <v>13240.572558615531</v>
      </c>
      <c r="AU18" s="950">
        <f ca="1">(VLOOKUP(TaxableIncomePerson2,TaxTable_1,2,TRUE))+((TaxableIncomePerson2-VLOOKUP(TaxableIncomePerson2,TaxTable_1,1,TRUE))*VLOOKUP(TaxableIncomePerson2,TaxTable_1,3,TRUE))</f>
        <v>9178.0238086155296</v>
      </c>
      <c r="AV18" s="489"/>
      <c r="AX18" s="8" t="s">
        <v>79</v>
      </c>
      <c r="AY18" s="949">
        <f>SUM(AY13:AY17)</f>
        <v>27489.985437867002</v>
      </c>
      <c r="AZ18" s="949">
        <f>SUM(AZ13:AZ17)</f>
        <v>27489.985437867002</v>
      </c>
      <c r="BE18" s="489">
        <v>11</v>
      </c>
      <c r="BF18" s="489">
        <f t="shared" ca="1" si="5"/>
        <v>5000.04</v>
      </c>
      <c r="BG18" s="489">
        <f t="shared" ca="1" si="6"/>
        <v>3750.03</v>
      </c>
      <c r="BM18" s="489">
        <v>11</v>
      </c>
      <c r="BN18" s="1113">
        <f t="shared" ca="1" si="0"/>
        <v>49999.6</v>
      </c>
      <c r="BO18" s="1112">
        <f t="shared" ca="1" si="7"/>
        <v>5000.04</v>
      </c>
      <c r="BP18" s="1113">
        <f t="shared" ca="1" si="8"/>
        <v>5431.8305268875611</v>
      </c>
      <c r="BQ18" s="1114">
        <f t="shared" ca="1" si="11"/>
        <v>4749.6957957631721</v>
      </c>
      <c r="BR18" s="489">
        <v>11</v>
      </c>
      <c r="BS18" s="1113">
        <f t="shared" ca="1" si="9"/>
        <v>37499.699999999997</v>
      </c>
      <c r="BT18" s="1112">
        <f t="shared" ca="1" si="1"/>
        <v>3750.03</v>
      </c>
      <c r="BU18" s="1113">
        <f t="shared" ca="1" si="10"/>
        <v>4073.8728951656708</v>
      </c>
      <c r="BV18" s="1114">
        <f t="shared" ca="1" si="12"/>
        <v>3562.2718468223766</v>
      </c>
    </row>
    <row r="19" spans="2:74">
      <c r="B19" s="489">
        <v>6</v>
      </c>
      <c r="C19" s="12">
        <f>'Deterministic Output'!A8</f>
        <v>20356.380483330366</v>
      </c>
      <c r="D19" s="12">
        <f>'Deterministic Output VicSup'!A8</f>
        <v>18367.380483330366</v>
      </c>
      <c r="E19" s="12">
        <f>'Test Sheet'!AP36</f>
        <v>34318.380483330366</v>
      </c>
      <c r="O19" s="525">
        <v>15158</v>
      </c>
      <c r="P19" s="528">
        <v>15706</v>
      </c>
      <c r="Q19" s="527">
        <v>62.5</v>
      </c>
      <c r="R19" s="527">
        <v>65</v>
      </c>
      <c r="S19" s="495"/>
      <c r="T19" s="489">
        <v>10</v>
      </c>
      <c r="U19" s="530">
        <f>ROUND('Deterministic Output VicSup'!A12+'Deterministic Output VicSup'!B12+'Deterministic Output VicSup'!C12+'Deterministic Output VicSup'!D12+'Deterministic Output VicSup'!E12+'Deterministic Output VicSup'!F12+'Deterministic Output VicSup'!G12,0)</f>
        <v>70000</v>
      </c>
      <c r="V19" s="530">
        <f>'Deterministic Output VicSup'!P12</f>
        <v>404059.97937056731</v>
      </c>
      <c r="W19" s="530">
        <f>'Deterministic Output VicSup'!AB12</f>
        <v>11597.134756792928</v>
      </c>
      <c r="X19" s="530">
        <f>MROUND('Deterministic Output VicSup'!AA12,5)</f>
        <v>404060</v>
      </c>
      <c r="Y19" s="531">
        <f>U19*((1+Settings!$J$63)^9)</f>
        <v>87420.407896336576</v>
      </c>
      <c r="Z19" s="531">
        <f>V19*((1+Settings!$J$63)^9)</f>
        <v>504615.54587371909</v>
      </c>
      <c r="AA19" s="531">
        <f>W19*((1+Settings!$J$63)^9)</f>
        <v>14483.232155251713</v>
      </c>
      <c r="AB19" s="531">
        <f>X19*((1+Settings!$J$63)^9)</f>
        <v>504615.57163705368</v>
      </c>
      <c r="AD19" s="489">
        <v>10</v>
      </c>
      <c r="AE19" s="1190">
        <f>ROUND('Deterministic Output'!A12+'Deterministic Output'!B12+'Deterministic Output'!C12+'Deterministic Output'!D12+'Deterministic Output'!E12+'Deterministic Output'!F12+'Deterministic Output'!G12,0)</f>
        <v>70000</v>
      </c>
      <c r="AF19" s="530">
        <f>'Deterministic Output'!P12</f>
        <v>411307.65233521204</v>
      </c>
      <c r="AG19" s="530">
        <f>'Deterministic Output'!AB12</f>
        <v>8287.7522369271392</v>
      </c>
      <c r="AH19" s="530">
        <f>MROUND('Deterministic Output'!AA12,5)</f>
        <v>373855</v>
      </c>
      <c r="AI19" s="531">
        <f>AE19*((1+Settings!$J$63)^9)</f>
        <v>87420.407896336576</v>
      </c>
      <c r="AJ19" s="531">
        <f>AF19*((1+Settings!$J$63)^9)</f>
        <v>513666.89625755476</v>
      </c>
      <c r="AK19" s="531">
        <f>AG19*((1+Settings!$J$63)^9)</f>
        <v>10350.266872799235</v>
      </c>
      <c r="AL19" s="531">
        <f>AH19*((1+Settings!$J$63)^9)</f>
        <v>466893.66562978446</v>
      </c>
      <c r="AN19" s="530">
        <f>'Deterministic Output'!A12-'Deterministic Output VicSup'!A12</f>
        <v>2031.1238815364268</v>
      </c>
      <c r="AO19" s="531">
        <f>AN19*((1+Settings!$J$63)^9)</f>
        <v>2536.5954030272123</v>
      </c>
      <c r="AQ19" s="954" t="s">
        <v>1105</v>
      </c>
      <c r="AR19" s="953"/>
      <c r="AS19" s="953"/>
      <c r="AT19" s="970">
        <f ca="1">IF(TaxableIncomePerson1&lt;=lito_l,lito_0,IF(TaxableIncomePerson1&gt;=lito_u,0,lito_0-(TaxableIncomePerson1-lito_l)*lito_red))</f>
        <v>250.61503940576097</v>
      </c>
      <c r="AU19" s="970">
        <f ca="1">IF(TaxableIncomePerson2=0,0,IF(TaxableIncomePerson2&lt;=lito_l,lito_0,IF(TaxableIncomePerson2&gt;=lito_u,0,lito_0-(TaxableIncomePerson2-lito_l)*lito_red)))</f>
        <v>438.11728940576108</v>
      </c>
      <c r="AV19" s="489"/>
      <c r="BE19" s="489">
        <v>12</v>
      </c>
      <c r="BF19" s="489">
        <f t="shared" ca="1" si="5"/>
        <v>5000.04</v>
      </c>
      <c r="BG19" s="489">
        <f t="shared" ca="1" si="6"/>
        <v>3750.03</v>
      </c>
      <c r="BM19" s="489">
        <v>12</v>
      </c>
      <c r="BN19" s="1113">
        <f t="shared" ca="1" si="0"/>
        <v>44999.560000000005</v>
      </c>
      <c r="BO19" s="1112">
        <f t="shared" ca="1" si="7"/>
        <v>5000.04</v>
      </c>
      <c r="BP19" s="1113">
        <f t="shared" ca="1" si="8"/>
        <v>5431.8305268875611</v>
      </c>
      <c r="BQ19" s="1114">
        <f t="shared" ca="1" si="11"/>
        <v>5181.4863226507332</v>
      </c>
      <c r="BR19" s="489">
        <v>12</v>
      </c>
      <c r="BS19" s="1113">
        <f t="shared" ca="1" si="9"/>
        <v>33749.67</v>
      </c>
      <c r="BT19" s="1112">
        <f t="shared" ca="1" si="1"/>
        <v>3750.03</v>
      </c>
      <c r="BU19" s="1113">
        <f t="shared" ca="1" si="10"/>
        <v>4073.8728951656708</v>
      </c>
      <c r="BV19" s="1114">
        <f t="shared" ca="1" si="12"/>
        <v>3886.1147419880472</v>
      </c>
    </row>
    <row r="20" spans="2:74">
      <c r="B20" s="489">
        <v>7</v>
      </c>
      <c r="C20" s="12">
        <f>'Deterministic Output'!A9</f>
        <v>24244.498032517433</v>
      </c>
      <c r="D20" s="12">
        <f>'Deterministic Output VicSup'!A9</f>
        <v>22099.498032517433</v>
      </c>
      <c r="E20" s="12">
        <f>'Test Sheet'!AP37</f>
        <v>34306.498032517433</v>
      </c>
      <c r="O20" s="525">
        <v>15707</v>
      </c>
      <c r="P20" s="528">
        <v>16253</v>
      </c>
      <c r="Q20" s="527">
        <v>63</v>
      </c>
      <c r="R20" s="527">
        <v>65</v>
      </c>
      <c r="S20" s="495"/>
      <c r="T20" s="489">
        <v>11</v>
      </c>
      <c r="U20" s="530">
        <f>ROUND('Deterministic Output VicSup'!A13+'Deterministic Output VicSup'!B13+'Deterministic Output VicSup'!C13+'Deterministic Output VicSup'!D13+'Deterministic Output VicSup'!E13+'Deterministic Output VicSup'!F13+'Deterministic Output VicSup'!G13,0)</f>
        <v>70000</v>
      </c>
      <c r="V20" s="530">
        <f>'Deterministic Output VicSup'!P13</f>
        <v>368340.83047578769</v>
      </c>
      <c r="W20" s="530">
        <f>'Deterministic Output VicSup'!AB13</f>
        <v>10451.424104188223</v>
      </c>
      <c r="X20" s="530">
        <f>MROUND('Deterministic Output VicSup'!AA13,5)</f>
        <v>368340</v>
      </c>
      <c r="Y20" s="531">
        <f>U20*((1+Settings!$J$63)^10)</f>
        <v>89605.918093745</v>
      </c>
      <c r="Z20" s="531">
        <f>V20*((1+Settings!$J$63)^10)</f>
        <v>471507.4040885063</v>
      </c>
      <c r="AA20" s="531">
        <f>W20*((1+Settings!$J$63)^10)</f>
        <v>13378.706460612602</v>
      </c>
      <c r="AB20" s="531">
        <f>X20*((1+Settings!$J$63)^10)</f>
        <v>471506.34100928617</v>
      </c>
      <c r="AD20" s="489">
        <v>11</v>
      </c>
      <c r="AE20" s="1190">
        <f>ROUND('Deterministic Output'!A13+'Deterministic Output'!B13+'Deterministic Output'!C13+'Deterministic Output'!D13+'Deterministic Output'!E13+'Deterministic Output'!F13+'Deterministic Output'!G13,0)</f>
        <v>70000</v>
      </c>
      <c r="AF20" s="530">
        <f>'Deterministic Output'!P13</f>
        <v>380245.9508571903</v>
      </c>
      <c r="AG20" s="530">
        <f>'Deterministic Output'!AB13</f>
        <v>7412.454548221599</v>
      </c>
      <c r="AH20" s="530">
        <f>MROUND('Deterministic Output'!AA13,5)</f>
        <v>337285</v>
      </c>
      <c r="AI20" s="531">
        <f>AE20*((1+Settings!$J$63)^10)</f>
        <v>89605.918093745</v>
      </c>
      <c r="AJ20" s="531">
        <f>AF20*((1+Settings!$J$63)^10)</f>
        <v>486746.96468553686</v>
      </c>
      <c r="AK20" s="531">
        <f>AG20*((1+Settings!$J$63)^10)</f>
        <v>9488.5685017364594</v>
      </c>
      <c r="AL20" s="531">
        <f>AH20*((1+Settings!$J$63)^10)</f>
        <v>431753.31548926828</v>
      </c>
      <c r="AN20" s="530">
        <f>'Deterministic Output'!A13-'Deterministic Output VicSup'!A13</f>
        <v>1429.7120520941098</v>
      </c>
      <c r="AO20" s="531">
        <f>AN20*((1+Settings!$J$63)^10)</f>
        <v>1830.152300536927</v>
      </c>
      <c r="AQ20" s="956" t="s">
        <v>1115</v>
      </c>
      <c r="AR20" s="955"/>
      <c r="AS20" s="968"/>
      <c r="AT20" s="971">
        <f ca="1">IF($AT$4="N/A",0,IF(Relationship="Single",SAPTOSingleP1,SAPTOCoupleP1))</f>
        <v>0</v>
      </c>
      <c r="AU20" s="971">
        <f ca="1">IF($AT$4="N/A",0,IF(TaxableIncomePerson2=0,0,IF(Relationship="Single",SAPTOSingleP2,SAPTOCoupleP2)))</f>
        <v>0</v>
      </c>
      <c r="AV20" s="489"/>
      <c r="BE20" s="489">
        <v>13</v>
      </c>
      <c r="BF20" s="489">
        <f t="shared" ca="1" si="5"/>
        <v>5000.04</v>
      </c>
      <c r="BG20" s="489">
        <f t="shared" ca="1" si="6"/>
        <v>3750.03</v>
      </c>
      <c r="BM20" s="489">
        <v>13</v>
      </c>
      <c r="BN20" s="1113">
        <f t="shared" ca="1" si="0"/>
        <v>39999.520000000004</v>
      </c>
      <c r="BO20" s="1112">
        <f t="shared" ca="1" si="7"/>
        <v>5000.04</v>
      </c>
      <c r="BP20" s="1113">
        <f t="shared" ca="1" si="8"/>
        <v>5431.8305268875611</v>
      </c>
      <c r="BQ20" s="1114">
        <f t="shared" ca="1" si="11"/>
        <v>5613.2768495382943</v>
      </c>
      <c r="BR20" s="489">
        <v>13</v>
      </c>
      <c r="BS20" s="1113">
        <f t="shared" ca="1" si="9"/>
        <v>29999.639999999996</v>
      </c>
      <c r="BT20" s="1112">
        <f t="shared" ca="1" si="1"/>
        <v>3750.03</v>
      </c>
      <c r="BU20" s="1113">
        <f t="shared" ca="1" si="10"/>
        <v>4073.8728951656708</v>
      </c>
      <c r="BV20" s="1114">
        <f t="shared" ca="1" si="12"/>
        <v>4209.9576371537178</v>
      </c>
    </row>
    <row r="21" spans="2:74">
      <c r="B21" s="489">
        <v>8</v>
      </c>
      <c r="C21" s="12">
        <f>'Deterministic Output'!A10</f>
        <v>27859.905397577983</v>
      </c>
      <c r="D21" s="12">
        <f>'Deterministic Output VicSup'!A10</f>
        <v>25597.905397577983</v>
      </c>
      <c r="E21" s="12">
        <f>'Test Sheet'!AP38</f>
        <v>34294.905397577983</v>
      </c>
      <c r="O21" s="525">
        <v>16254</v>
      </c>
      <c r="P21" s="528">
        <v>16802</v>
      </c>
      <c r="Q21" s="527">
        <v>63.5</v>
      </c>
      <c r="R21" s="527">
        <v>65</v>
      </c>
      <c r="S21" s="495"/>
      <c r="T21" s="489">
        <v>12</v>
      </c>
      <c r="U21" s="530">
        <f>ROUND('Deterministic Output VicSup'!A14+'Deterministic Output VicSup'!B14+'Deterministic Output VicSup'!C14+'Deterministic Output VicSup'!D14+'Deterministic Output VicSup'!E14+'Deterministic Output VicSup'!F14+'Deterministic Output VicSup'!G14,0)</f>
        <v>70000</v>
      </c>
      <c r="V21" s="530">
        <f>'Deterministic Output VicSup'!P14</f>
        <v>333388.10261332022</v>
      </c>
      <c r="W21" s="530">
        <f>'Deterministic Output VicSup'!AB14</f>
        <v>9329.8825406714386</v>
      </c>
      <c r="X21" s="530">
        <f>MROUND('Deterministic Output VicSup'!AA14,5)</f>
        <v>333390</v>
      </c>
      <c r="Y21" s="531">
        <f>U21*((1+Settings!$J$63)^11)</f>
        <v>91846.066046088614</v>
      </c>
      <c r="Z21" s="531">
        <f>V21*((1+Settings!$J$63)^11)</f>
        <v>437434.08130861685</v>
      </c>
      <c r="AA21" s="531">
        <f>W21*((1+Settings!$J$63)^11)</f>
        <v>12241.614400467972</v>
      </c>
      <c r="AB21" s="531">
        <f>X21*((1+Settings!$J$63)^11)</f>
        <v>437436.57084436406</v>
      </c>
      <c r="AD21" s="489">
        <v>12</v>
      </c>
      <c r="AE21" s="1190">
        <f>ROUND('Deterministic Output'!A14+'Deterministic Output'!B14+'Deterministic Output'!C14+'Deterministic Output'!D14+'Deterministic Output'!E14+'Deterministic Output'!F14+'Deterministic Output'!G14,0)</f>
        <v>70000</v>
      </c>
      <c r="AF21" s="530">
        <f>'Deterministic Output'!P14</f>
        <v>349831.36333467707</v>
      </c>
      <c r="AG21" s="530">
        <f>'Deterministic Output'!AB14</f>
        <v>6538.1577299722931</v>
      </c>
      <c r="AH21" s="530">
        <f>MROUND('Deterministic Output'!AA14,5)</f>
        <v>301170</v>
      </c>
      <c r="AI21" s="531">
        <f>AE21*((1+Settings!$J$63)^11)</f>
        <v>91846.066046088614</v>
      </c>
      <c r="AJ21" s="531">
        <f>AF21*((1+Settings!$J$63)^11)</f>
        <v>459009.06431185675</v>
      </c>
      <c r="AK21" s="531">
        <f>AG21*((1+Settings!$J$63)^11)</f>
        <v>8578.6295240968575</v>
      </c>
      <c r="AL21" s="531">
        <f>AH21*((1+Settings!$J$63)^11)</f>
        <v>395161.13873000728</v>
      </c>
      <c r="AN21" s="530">
        <f>'Deterministic Output'!A14-'Deterministic Output VicSup'!A14</f>
        <v>868.94127033571567</v>
      </c>
      <c r="AO21" s="531">
        <f>AN21*((1+Settings!$J$63)^11)</f>
        <v>1140.1262472203755</v>
      </c>
      <c r="AQ21" s="40"/>
      <c r="AR21" s="40"/>
      <c r="AS21" s="966" t="s">
        <v>0</v>
      </c>
      <c r="AT21" s="957">
        <f ca="1">MIN(TaxBeforeOffsetsPerson1,MAX(0,ROUNDUP(SAPTOs_O-MAX(0,(TaxableIncomePerson1-ROUNDUP((SAPTOs_O+lito_0)/SocialSecuritySettings!$C$246+SocialSecuritySettings!$A$246,0)))/8,0)))</f>
        <v>0</v>
      </c>
      <c r="AU21" s="957">
        <f ca="1">MIN(TaxBeforeOffsetsPerson2,MAX(0,ROUNDUP(SAPTOs_O-MAX(0,(TaxableIncomePerson2-ROUNDUP((SAPTOs_O+lito_0)/SocialSecuritySettings!$C$246+SocialSecuritySettings!$A$246,0)))/8,0)))</f>
        <v>729</v>
      </c>
      <c r="AV21" s="489"/>
      <c r="BE21" s="489">
        <v>14</v>
      </c>
      <c r="BF21" s="489">
        <f t="shared" ca="1" si="5"/>
        <v>5000.04</v>
      </c>
      <c r="BG21" s="489">
        <f t="shared" ca="1" si="6"/>
        <v>3750.03</v>
      </c>
      <c r="BM21" s="489">
        <v>14</v>
      </c>
      <c r="BN21" s="1113">
        <f t="shared" ca="1" si="0"/>
        <v>34999.479999999996</v>
      </c>
      <c r="BO21" s="1112">
        <f t="shared" ca="1" si="7"/>
        <v>5000.04</v>
      </c>
      <c r="BP21" s="1113">
        <f t="shared" ca="1" si="8"/>
        <v>5431.8305268875611</v>
      </c>
      <c r="BQ21" s="1114">
        <f t="shared" ca="1" si="11"/>
        <v>6045.0673764258554</v>
      </c>
      <c r="BR21" s="489">
        <v>14</v>
      </c>
      <c r="BS21" s="1113">
        <f t="shared" ca="1" si="9"/>
        <v>26249.61</v>
      </c>
      <c r="BT21" s="1112">
        <f t="shared" ca="1" si="1"/>
        <v>3750.03</v>
      </c>
      <c r="BU21" s="1113">
        <f t="shared" ca="1" si="10"/>
        <v>4073.8728951656708</v>
      </c>
      <c r="BV21" s="1114">
        <f t="shared" ca="1" si="12"/>
        <v>4533.8005323193884</v>
      </c>
    </row>
    <row r="22" spans="2:74">
      <c r="B22" s="489">
        <v>9</v>
      </c>
      <c r="C22" s="12">
        <f>'Deterministic Output'!A11</f>
        <v>31202.595509832179</v>
      </c>
      <c r="D22" s="12">
        <f>'Deterministic Output VicSup'!A11</f>
        <v>28862.595509832179</v>
      </c>
      <c r="E22" s="12">
        <f>'Test Sheet'!AP39</f>
        <v>34283.595509832179</v>
      </c>
      <c r="O22" s="525">
        <v>16803</v>
      </c>
      <c r="P22" s="528">
        <v>17348</v>
      </c>
      <c r="Q22" s="527">
        <v>64</v>
      </c>
      <c r="R22" s="527">
        <v>65</v>
      </c>
      <c r="S22" s="495"/>
      <c r="T22" s="489">
        <v>13</v>
      </c>
      <c r="U22" s="530">
        <f>ROUND('Deterministic Output VicSup'!A15+'Deterministic Output VicSup'!B15+'Deterministic Output VicSup'!C15+'Deterministic Output VicSup'!D15+'Deterministic Output VicSup'!E15+'Deterministic Output VicSup'!F15+'Deterministic Output VicSup'!G15,0)</f>
        <v>70000</v>
      </c>
      <c r="V22" s="530">
        <f>'Deterministic Output VicSup'!P15</f>
        <v>298825.53291036014</v>
      </c>
      <c r="W22" s="530">
        <f>'Deterministic Output VicSup'!AB15</f>
        <v>8220.3176006550639</v>
      </c>
      <c r="X22" s="530">
        <f>MROUND('Deterministic Output VicSup'!AA15,5)</f>
        <v>298825</v>
      </c>
      <c r="Y22" s="531">
        <f>U22*((1+Settings!$J$63)^12)</f>
        <v>94142.21769724082</v>
      </c>
      <c r="Z22" s="531">
        <f>V22*((1+Settings!$J$63)^12)</f>
        <v>401887.11961058754</v>
      </c>
      <c r="AA22" s="531">
        <f>W22*((1+Settings!$J$63)^12)</f>
        <v>11055.413272876134</v>
      </c>
      <c r="AB22" s="531">
        <f>X22*((1+Settings!$J$63)^12)</f>
        <v>401886.40290539985</v>
      </c>
      <c r="AD22" s="489">
        <v>13</v>
      </c>
      <c r="AE22" s="1190">
        <f>ROUND('Deterministic Output'!A15+'Deterministic Output'!B15+'Deterministic Output'!C15+'Deterministic Output'!D15+'Deterministic Output'!E15+'Deterministic Output'!F15+'Deterministic Output'!G15,0)</f>
        <v>70000</v>
      </c>
      <c r="AF22" s="530">
        <f>'Deterministic Output'!P15</f>
        <v>319192.13746370521</v>
      </c>
      <c r="AG22" s="530">
        <f>'Deterministic Output'!AB15</f>
        <v>5653.9766633876043</v>
      </c>
      <c r="AH22" s="530">
        <f>MROUND('Deterministic Output'!AA15,5)</f>
        <v>265165</v>
      </c>
      <c r="AI22" s="531">
        <f>AE22*((1+Settings!$J$63)^12)</f>
        <v>94142.21769724082</v>
      </c>
      <c r="AJ22" s="531">
        <f>AF22*((1+Settings!$J$63)^12)</f>
        <v>429277.93846222508</v>
      </c>
      <c r="AK22" s="531">
        <f>AG22*((1+Settings!$J$63)^12)</f>
        <v>7603.9700271393594</v>
      </c>
      <c r="AL22" s="531">
        <f>AH22*((1+Settings!$J$63)^12)</f>
        <v>356617.44508126948</v>
      </c>
      <c r="AN22" s="530">
        <f>'Deterministic Output'!A15-'Deterministic Output VicSup'!A15</f>
        <v>314.15880032753194</v>
      </c>
      <c r="AO22" s="531">
        <f>AN22*((1+Settings!$J$63)^12)</f>
        <v>422.50865959912176</v>
      </c>
      <c r="AQ22" s="40"/>
      <c r="AR22" s="40"/>
      <c r="AS22" s="966" t="s">
        <v>1125</v>
      </c>
      <c r="AT22" s="957">
        <f ca="1">IF(TaxableIncomePerson1+TaxableIncomePerson2&gt;=IF($AT$3="Yes",SAPTOcill_U*2,SAPTOc_U*2),0,MIN(TaxBeforeOffsetsPerson1,MAX(0,ROUND(IF(TaxableIncomePerson1&lt;SAPTOCoupleCalcP1,SAPTOPartnerUnusedP1+IF($AT$3="Yes",SAPTOcill_O,SAPTOc_O),(SAPTOPartnerUnusedP1+IF($AT$3="Yes",SAPTOcill_O,SAPTOc_O))-((TaxableIncomePerson1-SAPTOAdjRebateP1)/(1/SAPTO_Red))),0))))</f>
        <v>0</v>
      </c>
      <c r="AU22" s="957">
        <f ca="1">IF(TaxableIncomePerson1+TaxableIncomePerson2&gt;=IF($AT$3="Yes",SAPTOcill_U*2,SAPTOc_U*2),0,MIN(TaxBeforeOffsetsPerson2,MAX(0,ROUND(IF(TaxableIncomePerson2&lt;SAPTOCoupleCalcP2,SAPTOPartnerUnusedP2+IF($AT$3="Yes",SAPTOcill_O,SAPTOc_O),(SAPTOPartnerUnusedP2+IF($AT$3="Yes",SAPTOcill_O,SAPTOc_O))-((TaxableIncomePerson2-SAPTOAdjRebateP2)/(1/SAPTO_Red))),0))))</f>
        <v>0</v>
      </c>
      <c r="AV22" s="489"/>
      <c r="BE22" s="489">
        <v>15</v>
      </c>
      <c r="BF22" s="489">
        <f t="shared" ca="1" si="5"/>
        <v>5000.04</v>
      </c>
      <c r="BG22" s="489">
        <f t="shared" ca="1" si="6"/>
        <v>3750.03</v>
      </c>
      <c r="BM22" s="489">
        <v>15</v>
      </c>
      <c r="BN22" s="1113">
        <f t="shared" ca="1" si="0"/>
        <v>29999.440000000002</v>
      </c>
      <c r="BO22" s="1112">
        <f t="shared" ca="1" si="7"/>
        <v>5000.04</v>
      </c>
      <c r="BP22" s="1113">
        <f t="shared" ca="1" si="8"/>
        <v>5431.8305268875611</v>
      </c>
      <c r="BQ22" s="1114">
        <f t="shared" ca="1" si="11"/>
        <v>6476.8579033134165</v>
      </c>
      <c r="BR22" s="489">
        <v>15</v>
      </c>
      <c r="BS22" s="1113">
        <f t="shared" ca="1" si="9"/>
        <v>22499.579999999994</v>
      </c>
      <c r="BT22" s="1112">
        <f t="shared" ca="1" si="1"/>
        <v>3750.03</v>
      </c>
      <c r="BU22" s="1113">
        <f t="shared" ca="1" si="10"/>
        <v>4073.8728951656708</v>
      </c>
      <c r="BV22" s="1114">
        <f t="shared" ca="1" si="12"/>
        <v>4857.643427485059</v>
      </c>
    </row>
    <row r="23" spans="2:74">
      <c r="B23" s="489">
        <v>10</v>
      </c>
      <c r="C23" s="12">
        <f>'Deterministic Output'!A12</f>
        <v>33924.685354543428</v>
      </c>
      <c r="D23" s="12">
        <f>'Deterministic Output VicSup'!A12</f>
        <v>31893.561473007001</v>
      </c>
      <c r="E23" s="12">
        <f>'Test Sheet'!AP40</f>
        <v>34272.561473007001</v>
      </c>
      <c r="O23" s="525">
        <v>17349</v>
      </c>
      <c r="P23" s="528">
        <v>17898</v>
      </c>
      <c r="Q23" s="527">
        <v>64.5</v>
      </c>
      <c r="R23" s="527">
        <v>65</v>
      </c>
      <c r="S23" s="495"/>
      <c r="T23" s="489">
        <v>14</v>
      </c>
      <c r="U23" s="530">
        <f>ROUND('Deterministic Output VicSup'!A16+'Deterministic Output VicSup'!B16+'Deterministic Output VicSup'!C16+'Deterministic Output VicSup'!D16+'Deterministic Output VicSup'!E16+'Deterministic Output VicSup'!F16+'Deterministic Output VicSup'!G16,0)</f>
        <v>70000</v>
      </c>
      <c r="V23" s="530">
        <f>'Deterministic Output VicSup'!P16</f>
        <v>264648.26759064652</v>
      </c>
      <c r="W23" s="530">
        <f>'Deterministic Output VicSup'!AB16</f>
        <v>7122.6058542976234</v>
      </c>
      <c r="X23" s="530">
        <f>MROUND('Deterministic Output VicSup'!AA16,5)</f>
        <v>264650</v>
      </c>
      <c r="Y23" s="531">
        <f>U23*((1+Settings!$J$63)^13)</f>
        <v>96495.773139671845</v>
      </c>
      <c r="Z23" s="531">
        <f>V23*((1+Settings!$J$63)^13)</f>
        <v>364820.55987477419</v>
      </c>
      <c r="AA23" s="531">
        <f>W23*((1+Settings!$J$63)^13)</f>
        <v>9818.5908382800299</v>
      </c>
      <c r="AB23" s="531">
        <f>X23*((1+Settings!$J$63)^13)</f>
        <v>364822.94802020217</v>
      </c>
      <c r="AD23" s="489">
        <v>14</v>
      </c>
      <c r="AE23" s="1190">
        <f>ROUND('Deterministic Output'!A16+'Deterministic Output'!B16+'Deterministic Output'!C16+'Deterministic Output'!D16+'Deterministic Output'!E16+'Deterministic Output'!F16+'Deterministic Output'!G16,0)</f>
        <v>70000</v>
      </c>
      <c r="AF23" s="530">
        <f>'Deterministic Output'!P16</f>
        <v>288327.97000563756</v>
      </c>
      <c r="AG23" s="530">
        <f>'Deterministic Output'!AB16</f>
        <v>4760.0005496464428</v>
      </c>
      <c r="AH23" s="530">
        <f>MROUND('Deterministic Output'!AA16,5)</f>
        <v>229260</v>
      </c>
      <c r="AI23" s="531">
        <f>AE23*((1+Settings!$J$63)^13)</f>
        <v>96495.773139671845</v>
      </c>
      <c r="AJ23" s="531">
        <f>AF23*((1+Settings!$J$63)^13)</f>
        <v>397463.29119265871</v>
      </c>
      <c r="AK23" s="531">
        <f>AG23*((1+Settings!$J$63)^13)</f>
        <v>6561.7133311913776</v>
      </c>
      <c r="AL23" s="531">
        <f>AH23*((1+Settings!$J$63)^13)</f>
        <v>316037.44214287383</v>
      </c>
      <c r="AN23" s="530">
        <f>'Deterministic Output'!A16-'Deterministic Output VicSup'!A16</f>
        <v>0</v>
      </c>
      <c r="AO23" s="531">
        <f>AN23*((1+Settings!$J$63)^13)</f>
        <v>0</v>
      </c>
      <c r="AQ23" s="40"/>
      <c r="AR23" s="40"/>
      <c r="AS23" s="969" t="s">
        <v>1126</v>
      </c>
      <c r="AT23" s="957">
        <f ca="1">IF($AT$4="N/A",0,IF(TaxableIncomePerson1&gt;IF($AT$3="Yes",SAPTOcill_L,SAPTOc_L),MAX(0,IF($AT$3="Yes",SAPTOcill_O,SAPTOc_O)-MAX(0,((TaxableIncomePerson2-6000)*0.15))),MIN(TaxBeforeOffsetsPerson2,MAX(0,IF($AT$3="Yes",SAPTOcill_O,SAPTOc_O)-MAX(0,((TaxableIncomePerson2-6000)*0.15))))))</f>
        <v>0</v>
      </c>
      <c r="AU23" s="957">
        <f ca="1">IF($AT$4="N/A",0,IF(TaxableIncomePerson2&gt;IF($AT$3="Yes",SAPTOcill_L,SAPTOc_L),MAX(0,IF($AT$3="Yes",SAPTOcill_O,SAPTOc_O)-MAX(0,((TaxableIncomePerson1-6000)*0.15))),MIN(TaxBeforeOffsetsPerson1,MAX(0,IF($AT$3="Yes",SAPTOcill_O,SAPTOc_O)-MAX(0,((TaxableIncomePerson1-6000)*0.15))))))</f>
        <v>0</v>
      </c>
      <c r="AV23" s="489"/>
      <c r="AX23" s="685" t="s">
        <v>1248</v>
      </c>
      <c r="AY23" s="685"/>
      <c r="BE23" s="489">
        <v>16</v>
      </c>
      <c r="BF23" s="489">
        <f t="shared" ref="BF23:BF42" ca="1" si="13">BF22*(1+$BF$6)</f>
        <v>5000.04</v>
      </c>
      <c r="BG23" s="489">
        <f t="shared" ref="BG23:BG42" ca="1" si="14">BG22*(1+$BG$6)</f>
        <v>3750.03</v>
      </c>
      <c r="BM23" s="986">
        <v>16</v>
      </c>
      <c r="BN23" s="1131">
        <f t="shared" ca="1" si="0"/>
        <v>24999.399999999994</v>
      </c>
      <c r="BO23" s="1132">
        <f t="shared" ref="BO23" ca="1" si="15">BF23</f>
        <v>5000.04</v>
      </c>
      <c r="BP23" s="1131">
        <f t="shared" ca="1" si="8"/>
        <v>5431.8305268875611</v>
      </c>
      <c r="BQ23" s="1133">
        <f t="shared" ref="BQ23" ca="1" si="16">MAX(BP23-BO23+BQ22,0)</f>
        <v>6908.6484302009776</v>
      </c>
      <c r="BR23" s="986">
        <v>16</v>
      </c>
      <c r="BS23" s="1131">
        <f t="shared" ref="BS23" ca="1" si="17">MAX(0,$BS$8-$AU$11*(AD25-1)+BV22)</f>
        <v>18749.55</v>
      </c>
      <c r="BT23" s="1132">
        <f t="shared" ref="BT23" ca="1" si="18">BG23</f>
        <v>3750.03</v>
      </c>
      <c r="BU23" s="1131">
        <f t="shared" ca="1" si="10"/>
        <v>4073.8728951656708</v>
      </c>
      <c r="BV23" s="1133">
        <f t="shared" ref="BV23" ca="1" si="19">MAX(BU23-BT23+BV22,0)</f>
        <v>5181.4863226507296</v>
      </c>
    </row>
    <row r="24" spans="2:74">
      <c r="B24" s="489">
        <v>11</v>
      </c>
      <c r="C24" s="12">
        <f>'Deterministic Output'!A13</f>
        <v>34261.796559031223</v>
      </c>
      <c r="D24" s="12">
        <f>'Deterministic Output VicSup'!A13</f>
        <v>32832.084506937113</v>
      </c>
      <c r="E24" s="12">
        <f>'Test Sheet'!AP41</f>
        <v>34261.796559031223</v>
      </c>
      <c r="O24" s="525">
        <v>17899</v>
      </c>
      <c r="P24" s="528">
        <v>19175</v>
      </c>
      <c r="Q24" s="527">
        <v>65</v>
      </c>
      <c r="R24" s="527">
        <v>65</v>
      </c>
      <c r="S24" s="495"/>
      <c r="T24" s="489">
        <v>15</v>
      </c>
      <c r="U24" s="530">
        <f>ROUND('Deterministic Output VicSup'!A17+'Deterministic Output VicSup'!B17+'Deterministic Output VicSup'!C17+'Deterministic Output VicSup'!D17+'Deterministic Output VicSup'!E17+'Deterministic Output VicSup'!F17+'Deterministic Output VicSup'!G17,0)</f>
        <v>70000</v>
      </c>
      <c r="V24" s="530">
        <f>'Deterministic Output VicSup'!P17</f>
        <v>230622.57262697344</v>
      </c>
      <c r="W24" s="530">
        <f>'Deterministic Output VicSup'!AB17</f>
        <v>6029.1835895586564</v>
      </c>
      <c r="X24" s="530">
        <f>MROUND('Deterministic Output VicSup'!AA17,5)</f>
        <v>230625</v>
      </c>
      <c r="Y24" s="531">
        <f>U24*((1+Settings!$J$63)^14)</f>
        <v>98908.167468163621</v>
      </c>
      <c r="Z24" s="531">
        <f>V24*((1+Settings!$J$63)^14)</f>
        <v>325863.65764753456</v>
      </c>
      <c r="AA24" s="531">
        <f>W24*((1+Settings!$J$63)^14)</f>
        <v>8519.0785738910217</v>
      </c>
      <c r="AB24" s="531">
        <f>X24*((1+Settings!$J$63)^14)</f>
        <v>325867.08746207482</v>
      </c>
      <c r="AD24" s="489">
        <v>15</v>
      </c>
      <c r="AE24" s="1190">
        <f>ROUND('Deterministic Output'!A17+'Deterministic Output'!B17+'Deterministic Output'!C17+'Deterministic Output'!D17+'Deterministic Output'!E17+'Deterministic Output'!F17+'Deterministic Output'!G17,0)</f>
        <v>70000</v>
      </c>
      <c r="AF24" s="530">
        <f>'Deterministic Output'!P17</f>
        <v>257238.52225001474</v>
      </c>
      <c r="AG24" s="530">
        <f>'Deterministic Output'!AB17</f>
        <v>3856.3148289233591</v>
      </c>
      <c r="AH24" s="530">
        <f>MROUND('Deterministic Output'!AA17,5)</f>
        <v>193435</v>
      </c>
      <c r="AI24" s="531">
        <f>AE24*((1+Settings!$J$63)^14)</f>
        <v>98908.167468163621</v>
      </c>
      <c r="AJ24" s="531">
        <f>AF24*((1+Settings!$J$63)^14)</f>
        <v>363471.29768524849</v>
      </c>
      <c r="AK24" s="531">
        <f>AG24*((1+Settings!$J$63)^14)</f>
        <v>5448.8718987016337</v>
      </c>
      <c r="AL24" s="531">
        <f>AH24*((1+Settings!$J$63)^14)</f>
        <v>273318.59106006043</v>
      </c>
      <c r="AN24" s="530">
        <f>'Deterministic Output'!A17-'Deterministic Output VicSup'!A17</f>
        <v>0</v>
      </c>
      <c r="AO24" s="531">
        <f>AN24*((1+Settings!$J$63)^14)</f>
        <v>0</v>
      </c>
      <c r="AQ24" s="40"/>
      <c r="AR24" s="40"/>
      <c r="AS24" s="966" t="s">
        <v>1127</v>
      </c>
      <c r="AT24" s="957">
        <f ca="1">ROUNDUP(((IF($AT$3="Yes",SAPTOcill_O,SAPTOc_O)+SAPTOPartnerUnusedP1+lito_0)/SocialSecuritySettings!$C$246)+SocialSecuritySettings!$A$246,0)</f>
        <v>40940</v>
      </c>
      <c r="AU24" s="957">
        <f ca="1">ROUNDUP(((IF($AT$3="Yes",SAPTOcill_O,SAPTOc_O)+SAPTOPartnerUnusedP2+lito_0)/SocialSecuritySettings!$C$246)+SocialSecuritySettings!$A$246,0)</f>
        <v>40940</v>
      </c>
      <c r="AV24" s="489"/>
      <c r="AX24" s="8" t="s">
        <v>1249</v>
      </c>
      <c r="AY24" t="s">
        <v>1252</v>
      </c>
      <c r="BE24" s="489">
        <v>17</v>
      </c>
      <c r="BF24" s="489">
        <f t="shared" ca="1" si="13"/>
        <v>5000.04</v>
      </c>
      <c r="BG24" s="489">
        <f t="shared" ca="1" si="14"/>
        <v>3750.03</v>
      </c>
      <c r="BM24" s="489">
        <v>17</v>
      </c>
      <c r="BN24" s="1113">
        <f t="shared" ref="BN24:BN42" ca="1" si="20">MAX(0,$BN$8-$AT$11*(AD26-1)+BQ23)</f>
        <v>19999.36</v>
      </c>
      <c r="BO24" s="1112">
        <f t="shared" ref="BO24:BO42" ca="1" si="21">BF24</f>
        <v>5000.04</v>
      </c>
      <c r="BP24" s="1113">
        <f t="shared" ca="1" si="8"/>
        <v>5431.8305268875611</v>
      </c>
      <c r="BQ24" s="1114">
        <f t="shared" ref="BQ24:BQ42" ca="1" si="22">MAX(BP24-BO24+BQ23,0)</f>
        <v>7340.4389570885387</v>
      </c>
      <c r="BR24" s="489">
        <v>17</v>
      </c>
      <c r="BS24" s="1113">
        <f t="shared" ref="BS24:BS42" ca="1" si="23">MAX(0,$BS$8-$AU$11*(AD26-1)+BV23)</f>
        <v>14999.519999999997</v>
      </c>
      <c r="BT24" s="1112">
        <f t="shared" ref="BT24:BT42" ca="1" si="24">BG24</f>
        <v>3750.03</v>
      </c>
      <c r="BU24" s="1113">
        <f t="shared" ca="1" si="10"/>
        <v>4073.8728951656708</v>
      </c>
      <c r="BV24" s="1114">
        <f t="shared" ref="BV24:BV42" ca="1" si="25">MAX(BU24-BT24+BV23,0)</f>
        <v>5505.3292178164002</v>
      </c>
    </row>
    <row r="25" spans="2:74">
      <c r="B25" s="489">
        <v>12</v>
      </c>
      <c r="C25" s="12">
        <f>'Deterministic Output'!A14</f>
        <v>34251.294203932899</v>
      </c>
      <c r="D25" s="12">
        <f>'Deterministic Output VicSup'!A14</f>
        <v>33382.352933597183</v>
      </c>
      <c r="E25" s="12">
        <f>'Test Sheet'!AP42</f>
        <v>34251.294203932899</v>
      </c>
      <c r="O25" s="525">
        <v>19176</v>
      </c>
      <c r="P25" s="528">
        <v>19724</v>
      </c>
      <c r="Q25" s="527">
        <v>65.5</v>
      </c>
      <c r="R25" s="527">
        <v>65.5</v>
      </c>
      <c r="S25" s="495"/>
      <c r="T25" s="489">
        <v>16</v>
      </c>
      <c r="U25" s="530">
        <f>ROUND('Deterministic Output VicSup'!A18+'Deterministic Output VicSup'!B18+'Deterministic Output VicSup'!C18+'Deterministic Output VicSup'!D18+'Deterministic Output VicSup'!E18+'Deterministic Output VicSup'!F18+'Deterministic Output VicSup'!G18,0)</f>
        <v>70000</v>
      </c>
      <c r="V25" s="912">
        <f>'Deterministic Output VicSup'!P18</f>
        <v>196441.88322269981</v>
      </c>
      <c r="W25" s="912">
        <f>'Deterministic Output VicSup'!AB18</f>
        <v>4930.1185020084458</v>
      </c>
      <c r="X25" s="912">
        <f>MROUND('Deterministic Output VicSup'!AA18,5)</f>
        <v>196440</v>
      </c>
      <c r="Y25" s="912">
        <f>U25*((1+Settings!$J$63)^15)</f>
        <v>101380.87165486773</v>
      </c>
      <c r="Z25" s="912">
        <f>V25*((1+Settings!$J$63)^15)</f>
        <v>284506.41929487209</v>
      </c>
      <c r="AA25" s="912">
        <f>W25*((1+Settings!$J$63)^15)</f>
        <v>7140.2815870772429</v>
      </c>
      <c r="AB25" s="912">
        <f>X25*((1+Settings!$J$63)^15)</f>
        <v>284503.69182688883</v>
      </c>
      <c r="AD25" s="489">
        <v>16</v>
      </c>
      <c r="AE25" s="1190">
        <f>ROUND('Deterministic Output'!A18+'Deterministic Output'!B18+'Deterministic Output'!C18+'Deterministic Output'!D18+'Deterministic Output'!E18+'Deterministic Output'!F18+'Deterministic Output'!G18,0)</f>
        <v>70000</v>
      </c>
      <c r="AF25" s="912">
        <f>'Deterministic Output'!P18</f>
        <v>135299.86339124624</v>
      </c>
      <c r="AG25" s="912">
        <f>'Deterministic Output'!AB18</f>
        <v>2943.0028574862049</v>
      </c>
      <c r="AH25" s="912">
        <f>MROUND('Deterministic Output'!AA18,5)</f>
        <v>157680</v>
      </c>
      <c r="AI25" s="912">
        <f>AE25*((1+Settings!$J$63)^15)</f>
        <v>101380.87165486773</v>
      </c>
      <c r="AJ25" s="912">
        <f>AF25*((1+Settings!$J$63)^15)</f>
        <v>195954.54407698676</v>
      </c>
      <c r="AK25" s="912">
        <f>AG25*((1+Settings!$J$63)^15)</f>
        <v>4262.3456424959704</v>
      </c>
      <c r="AL25" s="912">
        <f>AH25*((1+Settings!$J$63)^15)</f>
        <v>228367.65489342206</v>
      </c>
      <c r="AN25" s="912">
        <f>'Deterministic Output'!A18-'Deterministic Output VicSup'!A18</f>
        <v>0</v>
      </c>
      <c r="AO25" s="912">
        <f>AN25*((1+Settings!$J$63)^15)</f>
        <v>0</v>
      </c>
      <c r="AQ25" s="958"/>
      <c r="AR25" s="958"/>
      <c r="AS25" s="967" t="s">
        <v>1137</v>
      </c>
      <c r="AT25" s="959">
        <f ca="1">IF(SAPTOCoupleCalcP1&lt;lito_l,ROUNDUP(((lito_0+(IF($AT$3="Yes",SAPTOcill_O,SAPTOc_O)+SAPTOPartnerUnusedP1))/SocialSecuritySettings!$C$246)+SocialSecuritySettings!$A$246,0),ROUNDUP(((SocialSecuritySettings!$C$246*SocialSecuritySettings!$A$246)+lito_0+IF($AT$3="Yes",SAPTOcill_O,SAPTOc_O)+SAPTOPartnerUnusedP1+lito_l*(lito_red+SocialSecuritySettings!$C$247-SocialSecuritySettings!$C$246))/(SocialSecuritySettings!$C$247+lito_red),0))</f>
        <v>40940</v>
      </c>
      <c r="AU25" s="959">
        <f ca="1">IF(SAPTOCoupleCalcP2&lt;lito_l,ROUNDUP(((lito_0+(IF($AT$3="Yes",SAPTOcill_O,SAPTOc_O)+SAPTOPartnerUnusedP2))/SocialSecuritySettings!$C$246)+SocialSecuritySettings!$A$246,0),ROUNDUP(((SocialSecuritySettings!$C$246*SocialSecuritySettings!$A$246)+lito_0+IF($AT$3="Yes",SAPTOcill_O,SAPTOc_O)+SAPTOPartnerUnusedP2+lito_l*(lito_red+SocialSecuritySettings!C247-SocialSecuritySettings!$C$246))/(SocialSecuritySettings!$C$247+lito_red),0))</f>
        <v>40940</v>
      </c>
      <c r="AV25" s="489"/>
      <c r="AX25" s="8" t="s">
        <v>1250</v>
      </c>
      <c r="AY25" t="str">
        <f>"Tax has been calculated based on current tax rates and law and where relevant include the Medicare Levy, Low income tax offset (LITO) and the seniors and pensioners tax offset (SAPTO). Thresholds have been indexed by "&amp;Settings!J63*100&amp;"% p.a. as a proxy for the thresholds that will be applicable in 15 years time"</f>
        <v>Tax has been calculated based on current tax rates and law and where relevant include the Medicare Levy, Low income tax offset (LITO) and the seniors and pensioners tax offset (SAPTO). Thresholds have been indexed by 2.5% p.a. as a proxy for the thresholds that will be applicable in 15 years time</v>
      </c>
      <c r="BE25" s="489">
        <v>18</v>
      </c>
      <c r="BF25" s="489">
        <f t="shared" ca="1" si="13"/>
        <v>5000.04</v>
      </c>
      <c r="BG25" s="489">
        <f t="shared" ca="1" si="14"/>
        <v>3750.03</v>
      </c>
      <c r="BM25" s="489">
        <v>18</v>
      </c>
      <c r="BN25" s="1113">
        <f t="shared" ca="1" si="20"/>
        <v>14999.320000000007</v>
      </c>
      <c r="BO25" s="1112">
        <f t="shared" ca="1" si="21"/>
        <v>5000.04</v>
      </c>
      <c r="BP25" s="1113">
        <f t="shared" ca="1" si="8"/>
        <v>5431.8305268875611</v>
      </c>
      <c r="BQ25" s="1114">
        <f t="shared" ca="1" si="22"/>
        <v>7772.2294839760998</v>
      </c>
      <c r="BR25" s="489">
        <v>18</v>
      </c>
      <c r="BS25" s="1113">
        <f t="shared" ca="1" si="23"/>
        <v>11249.489999999994</v>
      </c>
      <c r="BT25" s="1112">
        <f t="shared" ca="1" si="24"/>
        <v>3750.03</v>
      </c>
      <c r="BU25" s="1113">
        <f t="shared" ca="1" si="10"/>
        <v>4073.8728951656708</v>
      </c>
      <c r="BV25" s="1114">
        <f t="shared" ca="1" si="25"/>
        <v>5829.1721129820708</v>
      </c>
    </row>
    <row r="26" spans="2:74">
      <c r="B26" s="489">
        <v>13</v>
      </c>
      <c r="C26" s="12">
        <f>'Deterministic Output'!A15</f>
        <v>34241.048003836971</v>
      </c>
      <c r="D26" s="12">
        <f>'Deterministic Output VicSup'!A15</f>
        <v>33926.88920350944</v>
      </c>
      <c r="E26" s="12">
        <f>'Test Sheet'!AP43</f>
        <v>34241.048003836971</v>
      </c>
      <c r="O26" s="525">
        <v>19725</v>
      </c>
      <c r="P26" s="528">
        <v>20270</v>
      </c>
      <c r="Q26" s="527">
        <v>66</v>
      </c>
      <c r="R26" s="527">
        <v>66</v>
      </c>
      <c r="S26" s="495"/>
      <c r="T26" s="489">
        <v>17</v>
      </c>
      <c r="U26" s="530">
        <f>ROUND('Deterministic Output VicSup'!A19+'Deterministic Output VicSup'!B19+'Deterministic Output VicSup'!C19+'Deterministic Output VicSup'!D19+'Deterministic Output VicSup'!E19+'Deterministic Output VicSup'!F19+'Deterministic Output VicSup'!G19,0)</f>
        <v>70000</v>
      </c>
      <c r="V26" s="530">
        <f>'Deterministic Output VicSup'!P19</f>
        <v>162104.66678182402</v>
      </c>
      <c r="W26" s="530">
        <f>'Deterministic Output VicSup'!AB19</f>
        <v>3825.3903190326309</v>
      </c>
      <c r="X26" s="530">
        <f>MROUND('Deterministic Output VicSup'!AA19,5)</f>
        <v>162105</v>
      </c>
      <c r="Y26" s="531">
        <f>U26*((1+Settings!$J$63)^16)</f>
        <v>103915.39344623942</v>
      </c>
      <c r="Z26" s="531">
        <f>V26*((1+Settings!$J$63)^16)</f>
        <v>240645.28897292545</v>
      </c>
      <c r="AA26" s="531">
        <f>W26*((1+Settings!$J$63)^16)</f>
        <v>5678.8134298244458</v>
      </c>
      <c r="AB26" s="531">
        <f>X26*((1+Settings!$J$63)^16)</f>
        <v>240645.78363718058</v>
      </c>
      <c r="AD26" s="489">
        <v>17</v>
      </c>
      <c r="AE26" s="1190">
        <f>ROUND('Deterministic Output'!A19+'Deterministic Output'!B19+'Deterministic Output'!C19+'Deterministic Output'!D19+'Deterministic Output'!E19+'Deterministic Output'!F19+'Deterministic Output'!G19,0)</f>
        <v>70000</v>
      </c>
      <c r="AF26" s="530">
        <f>'Deterministic Output'!P19</f>
        <v>106558.65719016198</v>
      </c>
      <c r="AG26" s="530">
        <f>'Deterministic Output'!AB19</f>
        <v>2020.1450073036146</v>
      </c>
      <c r="AH26" s="530">
        <f>MROUND('Deterministic Output'!AA19,5)</f>
        <v>121990</v>
      </c>
      <c r="AI26" s="531">
        <f>AE26*((1+Settings!$J$63)^16)</f>
        <v>103915.39344623942</v>
      </c>
      <c r="AJ26" s="531">
        <f>AF26*((1+Settings!$J$63)^16)</f>
        <v>158186.92552883757</v>
      </c>
      <c r="AK26" s="531">
        <f>AG26*((1+Settings!$J$63)^16)</f>
        <v>2998.9166178915902</v>
      </c>
      <c r="AL26" s="531">
        <f>AH26*((1+Settings!$J$63)^16)</f>
        <v>181094.84066438209</v>
      </c>
      <c r="AN26" s="530">
        <f>'Deterministic Output'!A19-'Deterministic Output VicSup'!A19</f>
        <v>0</v>
      </c>
      <c r="AO26" s="531">
        <f>AN26*((1+Settings!$J$63)^16)</f>
        <v>0</v>
      </c>
      <c r="AQ26" s="964" t="s">
        <v>1114</v>
      </c>
      <c r="AR26" s="955"/>
      <c r="AS26" s="8"/>
      <c r="AT26" s="972">
        <f ca="1">MAX(0,IF(Relationship="Single",IF(MedicareExmpSingleP1="full",0,IF(MedicareExmpSingleP1="No",MedicareLvySingleP1,MedicareLvySingleP1*0.5)),IF(MedicareExmpCoupleP1="full",0,IF(MedicareExmpCoupleP1="No",MedicareLvyCoupleP1,MedicareLvyCoupleP1*0.5))))</f>
        <v>1549.8117087573401</v>
      </c>
      <c r="AU26" s="971">
        <f ca="1">IF(TaxableIncomePerson2=0,0,MAX(0,IF(Relationship="Single",IF(MedicareExmpSingleP2="full",0,IF(MedicareExmpSingleP2="No",MedicareLvySingleP2,MedicareLvySingleP2*0.5)),IF(MedicareExmpCoupleP2="full",0,IF(MedicareExmpCoupleP2="No",MedicareLvyCoupleP2,MedicareLvyCoupleP2*0.5)))))</f>
        <v>1299.8087087573399</v>
      </c>
      <c r="AV26" s="489"/>
      <c r="BE26" s="489">
        <v>19</v>
      </c>
      <c r="BF26" s="489">
        <f t="shared" ca="1" si="13"/>
        <v>5000.04</v>
      </c>
      <c r="BG26" s="489">
        <f t="shared" ca="1" si="14"/>
        <v>3750.03</v>
      </c>
      <c r="BM26" s="489">
        <v>19</v>
      </c>
      <c r="BN26" s="1113">
        <f t="shared" ca="1" si="20"/>
        <v>9999.279999999997</v>
      </c>
      <c r="BO26" s="1112">
        <f t="shared" ca="1" si="21"/>
        <v>5000.04</v>
      </c>
      <c r="BP26" s="1113">
        <f t="shared" ca="1" si="8"/>
        <v>5431.8305268875611</v>
      </c>
      <c r="BQ26" s="1114">
        <f t="shared" ca="1" si="22"/>
        <v>8204.02001086366</v>
      </c>
      <c r="BR26" s="489">
        <v>19</v>
      </c>
      <c r="BS26" s="1113">
        <f t="shared" ca="1" si="23"/>
        <v>7499.4599999999973</v>
      </c>
      <c r="BT26" s="1112">
        <f t="shared" ca="1" si="24"/>
        <v>3750.03</v>
      </c>
      <c r="BU26" s="1113">
        <f t="shared" ca="1" si="10"/>
        <v>4073.8728951656708</v>
      </c>
      <c r="BV26" s="1114">
        <f t="shared" ca="1" si="25"/>
        <v>6153.0150081477414</v>
      </c>
    </row>
    <row r="27" spans="2:74">
      <c r="B27" s="489">
        <v>14</v>
      </c>
      <c r="C27" s="12">
        <f>'Deterministic Output'!A16</f>
        <v>34231.051711060463</v>
      </c>
      <c r="D27" s="12">
        <f>'Deterministic Output VicSup'!A16</f>
        <v>34231.051711060463</v>
      </c>
      <c r="E27" s="12">
        <f>'Test Sheet'!AP44</f>
        <v>34231.051711060463</v>
      </c>
      <c r="O27" s="525">
        <v>20271</v>
      </c>
      <c r="P27" s="528">
        <v>20820</v>
      </c>
      <c r="Q27" s="527">
        <v>66.5</v>
      </c>
      <c r="R27" s="527">
        <v>66.5</v>
      </c>
      <c r="S27" s="495"/>
      <c r="T27" s="489">
        <v>18</v>
      </c>
      <c r="U27" s="530">
        <f>ROUND('Deterministic Output VicSup'!A20+'Deterministic Output VicSup'!B20+'Deterministic Output VicSup'!C20+'Deterministic Output VicSup'!D20+'Deterministic Output VicSup'!E20+'Deterministic Output VicSup'!F20+'Deterministic Output VicSup'!G20,0)</f>
        <v>70000</v>
      </c>
      <c r="V27" s="530">
        <f>'Deterministic Output VicSup'!P20</f>
        <v>127609.44049905785</v>
      </c>
      <c r="W27" s="530">
        <f>'Deterministic Output VicSup'!AB20</f>
        <v>2714.9789453976887</v>
      </c>
      <c r="X27" s="530">
        <f>('Deterministic Output VicSup'!AA20)</f>
        <v>127609.44049905785</v>
      </c>
      <c r="Y27" s="531">
        <f>U27*((1+Settings!$J$63)^17)</f>
        <v>106513.27828239539</v>
      </c>
      <c r="Z27" s="531">
        <f>V27*((1+Settings!$J$63)^17)</f>
        <v>194172.85496195607</v>
      </c>
      <c r="AA27" s="531">
        <f>W27*((1+Settings!$J$63)^17)</f>
        <v>4131.1615420284052</v>
      </c>
      <c r="AB27" s="531">
        <f>X27*((1+Settings!$J$63)^17)</f>
        <v>194172.85496195607</v>
      </c>
      <c r="AD27" s="489">
        <v>18</v>
      </c>
      <c r="AE27" s="1190">
        <f>ROUND('Deterministic Output'!A20+'Deterministic Output'!B20+'Deterministic Output'!C20+'Deterministic Output'!D20+'Deterministic Output'!E20+'Deterministic Output'!F20+'Deterministic Output'!G20,0)</f>
        <v>70000</v>
      </c>
      <c r="AF27" s="530">
        <f>'Deterministic Output'!P20</f>
        <v>77542.97260475342</v>
      </c>
      <c r="AG27" s="530">
        <f>'Deterministic Output'!AB20</f>
        <v>1244.8254747561202</v>
      </c>
      <c r="AH27" s="530">
        <f>MROUND('Deterministic Output'!AA20,5)</f>
        <v>86350</v>
      </c>
      <c r="AI27" s="531">
        <f>AE27*((1+Settings!$J$63)^17)</f>
        <v>106513.27828239539</v>
      </c>
      <c r="AJ27" s="531">
        <f>AF27*((1+Settings!$J$63)^17)</f>
        <v>117990.80314134662</v>
      </c>
      <c r="AK27" s="531">
        <f>AG27*((1+Settings!$J$63)^17)</f>
        <v>1894.1491743673371</v>
      </c>
      <c r="AL27" s="531">
        <f>AH27*((1+Settings!$J$63)^17)</f>
        <v>131391.73685264061</v>
      </c>
      <c r="AN27" s="530">
        <f>'Deterministic Output'!A20-'Deterministic Output VicSup'!A20</f>
        <v>0</v>
      </c>
      <c r="AO27" s="531">
        <f>AN27*((1+Settings!$J$63)^17)</f>
        <v>0</v>
      </c>
      <c r="AQ27" s="960"/>
      <c r="AR27" s="40"/>
      <c r="AS27" s="965" t="s">
        <v>1143</v>
      </c>
      <c r="AT27" s="961" t="str">
        <f ca="1">IF(SAPTOP1&gt;0,"Yes","No")</f>
        <v>No</v>
      </c>
      <c r="AU27" s="961" t="str">
        <f ca="1">IF(SAPTOP2&gt;0,"Yes","No")</f>
        <v>No</v>
      </c>
      <c r="AV27" s="489"/>
      <c r="BE27" s="489">
        <v>20</v>
      </c>
      <c r="BF27" s="489">
        <f t="shared" ca="1" si="13"/>
        <v>5000.04</v>
      </c>
      <c r="BG27" s="489">
        <f t="shared" ca="1" si="14"/>
        <v>3750.03</v>
      </c>
      <c r="BM27" s="489">
        <v>20</v>
      </c>
      <c r="BN27" s="1113">
        <f t="shared" ca="1" si="20"/>
        <v>4999.2400000000016</v>
      </c>
      <c r="BO27" s="1112">
        <f t="shared" ca="1" si="21"/>
        <v>5000.04</v>
      </c>
      <c r="BP27" s="1113">
        <f t="shared" ca="1" si="8"/>
        <v>5431.8305268875611</v>
      </c>
      <c r="BQ27" s="1114">
        <f t="shared" ca="1" si="22"/>
        <v>8635.810537751222</v>
      </c>
      <c r="BR27" s="489">
        <v>20</v>
      </c>
      <c r="BS27" s="1113">
        <f t="shared" ca="1" si="23"/>
        <v>3749.4300000000012</v>
      </c>
      <c r="BT27" s="1112">
        <f t="shared" ca="1" si="24"/>
        <v>3750.03</v>
      </c>
      <c r="BU27" s="1113">
        <f t="shared" ca="1" si="10"/>
        <v>4073.8728951656708</v>
      </c>
      <c r="BV27" s="1114">
        <f t="shared" ca="1" si="25"/>
        <v>6476.857903313412</v>
      </c>
    </row>
    <row r="28" spans="2:74">
      <c r="B28" s="489">
        <v>15</v>
      </c>
      <c r="C28" s="12">
        <f>'Deterministic Output'!A17</f>
        <v>34221.299230302888</v>
      </c>
      <c r="D28" s="12">
        <f>'Deterministic Output VicSup'!A17</f>
        <v>34221.299230302888</v>
      </c>
      <c r="E28" s="12">
        <f>'Test Sheet'!AP45</f>
        <v>34221.299230302888</v>
      </c>
      <c r="I28" s="428" t="s">
        <v>698</v>
      </c>
      <c r="J28" s="192"/>
      <c r="O28" s="525">
        <v>20821</v>
      </c>
      <c r="P28" s="528">
        <v>36161</v>
      </c>
      <c r="Q28" s="527">
        <v>67</v>
      </c>
      <c r="R28" s="527">
        <v>67</v>
      </c>
      <c r="S28" s="495"/>
      <c r="T28" s="489">
        <v>19</v>
      </c>
      <c r="U28" s="530">
        <f>ROUND('Deterministic Output VicSup'!A21+'Deterministic Output VicSup'!B21+'Deterministic Output VicSup'!C21+'Deterministic Output VicSup'!D21+'Deterministic Output VicSup'!E21+'Deterministic Output VicSup'!F21+'Deterministic Output VicSup'!G21,0)</f>
        <v>70000</v>
      </c>
      <c r="V28" s="530">
        <f>'Deterministic Output VicSup'!P21</f>
        <v>92954.749551935107</v>
      </c>
      <c r="W28" s="530">
        <f>'Deterministic Output VicSup'!AB21</f>
        <v>1598.8638247782335</v>
      </c>
      <c r="X28" s="530">
        <f>MROUND('Deterministic Output VicSup'!AA21,5)</f>
        <v>92955</v>
      </c>
      <c r="Y28" s="531">
        <f>U28*((1+Settings!$J$63)^18)</f>
        <v>109176.11023945527</v>
      </c>
      <c r="Z28" s="531">
        <f>V28*((1+Settings!$J$63)^18)</f>
        <v>144977.68549090033</v>
      </c>
      <c r="AA28" s="531">
        <f>W28*((1+Settings!$J$63)^18)</f>
        <v>2493.681902740936</v>
      </c>
      <c r="AB28" s="531">
        <f>X28*((1+Settings!$J$63)^18)</f>
        <v>144978.07610440807</v>
      </c>
      <c r="AD28" s="489">
        <v>19</v>
      </c>
      <c r="AE28" s="1190">
        <f>ROUND('Deterministic Output'!A21+'Deterministic Output'!B21+'Deterministic Output'!C21+'Deterministic Output'!D21+'Deterministic Output'!E21+'Deterministic Output'!F21+'Deterministic Output'!G21,0)</f>
        <v>70000</v>
      </c>
      <c r="AF28" s="530">
        <f>'Deterministic Output'!P21</f>
        <v>48254.302825784427</v>
      </c>
      <c r="AG28" s="530">
        <f>'Deterministic Output'!AB21</f>
        <v>737.74578024987352</v>
      </c>
      <c r="AH28" s="530">
        <f>MROUND('Deterministic Output'!AA21,5)</f>
        <v>50755</v>
      </c>
      <c r="AI28" s="531">
        <f>AE28*((1+Settings!$J$63)^18)</f>
        <v>109176.11023945527</v>
      </c>
      <c r="AJ28" s="531">
        <f>AF28*((1+Settings!$J$63)^18)</f>
        <v>75260.244069084278</v>
      </c>
      <c r="AK28" s="531">
        <f>AG28*((1+Settings!$J$63)^18)</f>
        <v>1150.631637617902</v>
      </c>
      <c r="AL28" s="531">
        <f>AH28*((1+Settings!$J$63)^18)</f>
        <v>79160.478217193609</v>
      </c>
      <c r="AN28" s="530">
        <f>'Deterministic Output'!A21-'Deterministic Output VicSup'!A21</f>
        <v>0</v>
      </c>
      <c r="AO28" s="531">
        <f>AN28*((1+Settings!$J$63)^18)</f>
        <v>0</v>
      </c>
      <c r="AQ28" s="960"/>
      <c r="AR28" s="40"/>
      <c r="AS28" s="965" t="s">
        <v>0</v>
      </c>
      <c r="AT28" s="957">
        <f ca="1">MAX(0,IF(SAPTOEntlP1="Yes",IF(TaxableIncomePerson1&lt;ML_lower_SAPTOSingle,0,IF(TaxableIncomePerson1&gt;ML_upper_SAPTOSingle,TaxableIncomePerson1*ML_Rate,(TaxableIncomePerson1-ML_lower_SAPTOSingle)*10%)),IF(TaxableIncomePerson1&lt;ML_lower_stdSingle,0,IF(TaxableIncomePerson1&gt;ML_upper_stdSingle,TaxableIncomePerson1*ML_Rate,(TaxableIncomePerson1-ML_lower_stdSingle)*10%))))</f>
        <v>1549.8117087573401</v>
      </c>
      <c r="AU28" s="957">
        <f ca="1">MAX(0,IF(SAPTOEntlP2="Yes",IF(TaxableIncomePerson2&lt;ML_lower_SAPTOSingle,0,IF(TaxableIncomePerson2&gt;ML_upper_SAPTOSingle,TaxableIncomePerson2*ML_Rate,(TaxableIncomePerson2-ML_lower_SAPTOSingle)*10%)),IF(TaxableIncomePerson2&lt;ML_lower_stdSingle,0,IF(TaxableIncomePerson2&gt;ML_upper_stdSingle,TaxableIncomePerson2*ML_Rate,(TaxableIncomePerson2-ML_lower_stdSingle)*10%))))</f>
        <v>1299.8087087573399</v>
      </c>
      <c r="AV28" s="489"/>
      <c r="BE28" s="489">
        <v>21</v>
      </c>
      <c r="BF28" s="489">
        <f t="shared" ca="1" si="13"/>
        <v>5000.04</v>
      </c>
      <c r="BG28" s="489">
        <f t="shared" ca="1" si="14"/>
        <v>3750.03</v>
      </c>
      <c r="BM28" s="489">
        <v>21</v>
      </c>
      <c r="BN28" s="1113">
        <f t="shared" ca="1" si="20"/>
        <v>0</v>
      </c>
      <c r="BO28" s="1112">
        <f t="shared" ca="1" si="21"/>
        <v>5000.04</v>
      </c>
      <c r="BP28" s="1113">
        <f t="shared" ca="1" si="8"/>
        <v>5431.8305268875611</v>
      </c>
      <c r="BQ28" s="1114">
        <f t="shared" ca="1" si="22"/>
        <v>9067.601064638784</v>
      </c>
      <c r="BR28" s="489">
        <v>21</v>
      </c>
      <c r="BS28" s="1113">
        <f t="shared" ca="1" si="23"/>
        <v>0</v>
      </c>
      <c r="BT28" s="1112">
        <f t="shared" ca="1" si="24"/>
        <v>3750.03</v>
      </c>
      <c r="BU28" s="1113">
        <f t="shared" ca="1" si="10"/>
        <v>4073.8728951656708</v>
      </c>
      <c r="BV28" s="1114">
        <f t="shared" ca="1" si="25"/>
        <v>6800.7007984790826</v>
      </c>
    </row>
    <row r="29" spans="2:74">
      <c r="I29" t="s">
        <v>77</v>
      </c>
      <c r="J29" s="489">
        <f>'Test Sheet'!AG21/26</f>
        <v>469.65000000000003</v>
      </c>
      <c r="S29" s="495"/>
      <c r="T29" s="489">
        <v>20</v>
      </c>
      <c r="U29" s="530">
        <f>ROUND('Deterministic Output VicSup'!A22+'Deterministic Output VicSup'!B22+'Deterministic Output VicSup'!C22+'Deterministic Output VicSup'!D22+'Deterministic Output VicSup'!E22+'Deterministic Output VicSup'!F22+'Deterministic Output VicSup'!G22,0)</f>
        <v>70000</v>
      </c>
      <c r="V29" s="530">
        <f>'Deterministic Output VicSup'!P22</f>
        <v>58139.165389760587</v>
      </c>
      <c r="W29" s="530">
        <f>'Deterministic Output VicSup'!AB22</f>
        <v>915.93597361708339</v>
      </c>
      <c r="X29" s="530">
        <f>MROUND('Deterministic Output VicSup'!AA22,5)</f>
        <v>58140</v>
      </c>
      <c r="Y29" s="531">
        <f>U29*((1+Settings!$J$63)^19)</f>
        <v>111905.51299544166</v>
      </c>
      <c r="Z29" s="531">
        <f>V29*((1+Settings!$J$63)^19)</f>
        <v>92944.187543828361</v>
      </c>
      <c r="AA29" s="531">
        <f>W29*((1+Settings!$J$63)^19)</f>
        <v>1464.2612142657006</v>
      </c>
      <c r="AB29" s="531">
        <f>X29*((1+Settings!$J$63)^19)</f>
        <v>92945.521793642547</v>
      </c>
      <c r="AD29" s="489">
        <v>20</v>
      </c>
      <c r="AE29" s="1190">
        <f>ROUND('Deterministic Output'!A22+'Deterministic Output'!B22+'Deterministic Output'!C22+'Deterministic Output'!D22+'Deterministic Output'!E22+'Deterministic Output'!F22+'Deterministic Output'!G22,0)</f>
        <v>52930</v>
      </c>
      <c r="AF29" s="530">
        <f>'Deterministic Output'!P22</f>
        <v>18694.075900833101</v>
      </c>
      <c r="AG29" s="530">
        <f>'Deterministic Output'!AB22</f>
        <v>225.64690756085221</v>
      </c>
      <c r="AH29" s="530">
        <f>MROUND('Deterministic Output'!AA22,5)</f>
        <v>18695</v>
      </c>
      <c r="AI29" s="531">
        <f>AE29*((1+Settings!$J$63)^19)</f>
        <v>84616.554326410391</v>
      </c>
      <c r="AJ29" s="531">
        <f>AF29*((1+Settings!$J$63)^19)</f>
        <v>29885.287909406448</v>
      </c>
      <c r="AK29" s="531">
        <f>AG29*((1+Settings!$J$63)^19)</f>
        <v>360.73047066331674</v>
      </c>
      <c r="AL29" s="531">
        <f>AH29*((1+Settings!$J$63)^19)</f>
        <v>29886.765220711171</v>
      </c>
      <c r="AN29" s="530">
        <f>'Deterministic Output'!A22-'Deterministic Output VicSup'!A22</f>
        <v>0</v>
      </c>
      <c r="AO29" s="531">
        <f>AN29*((1+Settings!$J$63)^19)</f>
        <v>0</v>
      </c>
      <c r="AQ29" s="960"/>
      <c r="AR29" s="40"/>
      <c r="AS29" s="965" t="s">
        <v>10</v>
      </c>
      <c r="AT29" s="957">
        <f ca="1">MedicareLevyP1</f>
        <v>1549.8117087573401</v>
      </c>
      <c r="AU29" s="957">
        <f ca="1">MedicareLevyP2</f>
        <v>1299.8087087573399</v>
      </c>
      <c r="AV29" s="489"/>
      <c r="BE29" s="489">
        <v>22</v>
      </c>
      <c r="BF29" s="489">
        <f t="shared" ca="1" si="13"/>
        <v>5000.04</v>
      </c>
      <c r="BG29" s="489">
        <f t="shared" ca="1" si="14"/>
        <v>3750.03</v>
      </c>
      <c r="BM29" s="489">
        <v>22</v>
      </c>
      <c r="BN29" s="1113">
        <f t="shared" ca="1" si="20"/>
        <v>0</v>
      </c>
      <c r="BO29" s="1112">
        <f t="shared" ca="1" si="21"/>
        <v>5000.04</v>
      </c>
      <c r="BP29" s="1113">
        <f t="shared" ca="1" si="8"/>
        <v>5431.8305268875611</v>
      </c>
      <c r="BQ29" s="1114">
        <f t="shared" ca="1" si="22"/>
        <v>9499.391591526346</v>
      </c>
      <c r="BR29" s="489">
        <v>22</v>
      </c>
      <c r="BS29" s="1113">
        <f t="shared" ca="1" si="23"/>
        <v>0</v>
      </c>
      <c r="BT29" s="1112">
        <f t="shared" ca="1" si="24"/>
        <v>3750.03</v>
      </c>
      <c r="BU29" s="1113">
        <f t="shared" ca="1" si="10"/>
        <v>4073.8728951656708</v>
      </c>
      <c r="BV29" s="1114">
        <f t="shared" ca="1" si="25"/>
        <v>7124.5436936447531</v>
      </c>
    </row>
    <row r="30" spans="2:74">
      <c r="I30" s="658">
        <v>42736</v>
      </c>
      <c r="J30" s="489">
        <f>NewEntitlement/26</f>
        <v>0</v>
      </c>
      <c r="S30" s="495"/>
      <c r="T30" s="489">
        <v>21</v>
      </c>
      <c r="U30" s="530">
        <f>ROUND('Deterministic Output VicSup'!A23+'Deterministic Output VicSup'!B23+'Deterministic Output VicSup'!C23+'Deterministic Output VicSup'!D23+'Deterministic Output VicSup'!E23+'Deterministic Output VicSup'!F23+'Deterministic Output VicSup'!G23,0)</f>
        <v>52341</v>
      </c>
      <c r="V30" s="530">
        <f>'Deterministic Output VicSup'!P23</f>
        <v>23161.303626660188</v>
      </c>
      <c r="W30" s="530">
        <f>'Deterministic Output VicSup'!AB23</f>
        <v>308.77458401666667</v>
      </c>
      <c r="X30" s="530">
        <f>MROUND('Deterministic Output VicSup'!AA23,5)</f>
        <v>23160</v>
      </c>
      <c r="Y30" s="531">
        <f>U30*((1+Settings!$J$63)^20)</f>
        <v>85766.823101239599</v>
      </c>
      <c r="Z30" s="531">
        <f>V30*((1+Settings!$J$63)^20)</f>
        <v>37952.492901202946</v>
      </c>
      <c r="AA30" s="531">
        <f>W30*((1+Settings!$J$63)^20)</f>
        <v>505.96310971353802</v>
      </c>
      <c r="AB30" s="531">
        <f>X30*((1+Settings!$J$63)^20)</f>
        <v>37950.356757125563</v>
      </c>
      <c r="AD30" s="489">
        <v>21</v>
      </c>
      <c r="AE30" s="1190">
        <f>ROUND('Deterministic Output'!A23+'Deterministic Output'!B23+'Deterministic Output'!C23+'Deterministic Output'!D23+'Deterministic Output'!E23+'Deterministic Output'!F23+'Deterministic Output'!G23,0)</f>
        <v>39507</v>
      </c>
      <c r="AF30" s="530">
        <f>'Deterministic Output'!P23</f>
        <v>5517.0416828506686</v>
      </c>
      <c r="AG30" s="530">
        <f>'Deterministic Output'!AB23</f>
        <v>0</v>
      </c>
      <c r="AH30" s="530">
        <f>MROUND('Deterministic Output'!AA23,5)</f>
        <v>5515</v>
      </c>
      <c r="AI30" s="531">
        <f>AE30*((1+Settings!$J$63)^20)</f>
        <v>64736.819706552655</v>
      </c>
      <c r="AJ30" s="531">
        <f>AF30*((1+Settings!$J$63)^20)</f>
        <v>9040.3152032864964</v>
      </c>
      <c r="AK30" s="531">
        <f>AG30*((1+Settings!$J$63)^20)</f>
        <v>0</v>
      </c>
      <c r="AL30" s="531">
        <f>AH30*((1+Settings!$J$63)^20)</f>
        <v>9036.969668201531</v>
      </c>
      <c r="AN30" s="530">
        <f>'Deterministic Output'!A23-'Deterministic Output VicSup'!A23</f>
        <v>0</v>
      </c>
      <c r="AO30" s="531">
        <f>AN30*((1+Settings!$J$63)^20)</f>
        <v>0</v>
      </c>
      <c r="AQ30" s="960"/>
      <c r="AR30" s="40"/>
      <c r="AS30" s="965" t="s">
        <v>1128</v>
      </c>
      <c r="AT30" s="957" t="s">
        <v>18</v>
      </c>
      <c r="AU30" s="957" t="s">
        <v>18</v>
      </c>
      <c r="AV30" s="489"/>
      <c r="AY30" s="491"/>
      <c r="AZ30" s="491"/>
      <c r="BE30" s="489">
        <v>23</v>
      </c>
      <c r="BF30" s="489">
        <f t="shared" ca="1" si="13"/>
        <v>5000.04</v>
      </c>
      <c r="BG30" s="489">
        <f t="shared" ca="1" si="14"/>
        <v>3750.03</v>
      </c>
      <c r="BM30" s="489">
        <v>23</v>
      </c>
      <c r="BN30" s="1113">
        <f t="shared" ca="1" si="20"/>
        <v>0</v>
      </c>
      <c r="BO30" s="1112">
        <f t="shared" ca="1" si="21"/>
        <v>5000.04</v>
      </c>
      <c r="BP30" s="1113">
        <f t="shared" ca="1" si="8"/>
        <v>5431.8305268875611</v>
      </c>
      <c r="BQ30" s="1114">
        <f t="shared" ca="1" si="22"/>
        <v>9931.182118413908</v>
      </c>
      <c r="BR30" s="489">
        <v>23</v>
      </c>
      <c r="BS30" s="1113">
        <f t="shared" ca="1" si="23"/>
        <v>0</v>
      </c>
      <c r="BT30" s="1112">
        <f t="shared" ca="1" si="24"/>
        <v>3750.03</v>
      </c>
      <c r="BU30" s="1113">
        <f t="shared" ca="1" si="10"/>
        <v>4073.8728951656708</v>
      </c>
      <c r="BV30" s="1114">
        <f t="shared" ca="1" si="25"/>
        <v>7448.3865888104237</v>
      </c>
    </row>
    <row r="31" spans="2:74">
      <c r="C31" s="489"/>
      <c r="D31" s="489"/>
      <c r="J31">
        <f>J29-J30</f>
        <v>469.65000000000003</v>
      </c>
      <c r="S31" s="495"/>
      <c r="T31" s="489">
        <v>22</v>
      </c>
      <c r="U31" s="530">
        <f>ROUND('Deterministic Output VicSup'!A24+'Deterministic Output VicSup'!B24+'Deterministic Output VicSup'!C24+'Deterministic Output VicSup'!D24+'Deterministic Output VicSup'!E24+'Deterministic Output VicSup'!F24+'Deterministic Output VicSup'!G24,0)</f>
        <v>34159</v>
      </c>
      <c r="V31" s="530">
        <f>'Deterministic Output VicSup'!P24</f>
        <v>5247.9176983213683</v>
      </c>
      <c r="W31" s="530">
        <f>'Deterministic Output VicSup'!AB24</f>
        <v>0</v>
      </c>
      <c r="X31" s="530">
        <f>MROUND('Deterministic Output VicSup'!AA24,5)</f>
        <v>5250</v>
      </c>
      <c r="Y31" s="531">
        <f>U31*((1+Settings!$J$63)^21)</f>
        <v>57372.836458476602</v>
      </c>
      <c r="Z31" s="531">
        <f>V31*((1+Settings!$J$63)^21)</f>
        <v>8814.3073232043334</v>
      </c>
      <c r="AA31" s="531">
        <f>W31*((1+Settings!$J$63)^21)</f>
        <v>0</v>
      </c>
      <c r="AB31" s="531">
        <f>X31*((1+Settings!$J$63)^21)</f>
        <v>8817.8047193126895</v>
      </c>
      <c r="AD31" s="489">
        <v>22</v>
      </c>
      <c r="AE31" s="1190">
        <f>ROUND('Deterministic Output'!A24+'Deterministic Output'!B24+'Deterministic Output'!C24+'Deterministic Output'!D24+'Deterministic Output'!E24+'Deterministic Output'!F24+'Deterministic Output'!G24,0)</f>
        <v>39369</v>
      </c>
      <c r="AF31" s="530">
        <f>'Deterministic Output'!P24</f>
        <v>5247.9176983213683</v>
      </c>
      <c r="AG31" s="530">
        <f>'Deterministic Output'!AB24</f>
        <v>0</v>
      </c>
      <c r="AH31" s="530">
        <f>MROUND('Deterministic Output'!AA24,5)</f>
        <v>5250</v>
      </c>
      <c r="AI31" s="531">
        <f>AE31*((1+Settings!$J$63)^21)</f>
        <v>66123.457903737391</v>
      </c>
      <c r="AJ31" s="531">
        <f>AF31*((1+Settings!$J$63)^21)</f>
        <v>8814.3073232043334</v>
      </c>
      <c r="AK31" s="531">
        <f>AG31*((1+Settings!$J$63)^21)</f>
        <v>0</v>
      </c>
      <c r="AL31" s="531">
        <f>AH31*((1+Settings!$J$63)^21)</f>
        <v>8817.8047193126895</v>
      </c>
      <c r="AN31" s="530">
        <f>'Deterministic Output'!A24-'Deterministic Output VicSup'!A24</f>
        <v>0</v>
      </c>
      <c r="AO31" s="531">
        <f>AN31*((1+Settings!$J$63)^21)</f>
        <v>0</v>
      </c>
      <c r="AQ31" s="960"/>
      <c r="AR31" s="40"/>
      <c r="AS31" s="965" t="s">
        <v>1129</v>
      </c>
      <c r="AT31" s="957" t="s">
        <v>18</v>
      </c>
      <c r="AU31" s="957" t="s">
        <v>18</v>
      </c>
      <c r="AV31" s="489"/>
      <c r="BE31" s="489">
        <v>24</v>
      </c>
      <c r="BF31" s="489">
        <f t="shared" ca="1" si="13"/>
        <v>5000.04</v>
      </c>
      <c r="BG31" s="489">
        <f t="shared" ca="1" si="14"/>
        <v>3750.03</v>
      </c>
      <c r="BM31" s="489">
        <v>24</v>
      </c>
      <c r="BN31" s="1113">
        <f t="shared" ca="1" si="20"/>
        <v>0</v>
      </c>
      <c r="BO31" s="1112">
        <f t="shared" ca="1" si="21"/>
        <v>5000.04</v>
      </c>
      <c r="BP31" s="1113">
        <f t="shared" ca="1" si="8"/>
        <v>5431.8305268875611</v>
      </c>
      <c r="BQ31" s="1114">
        <f t="shared" ca="1" si="22"/>
        <v>10362.97264530147</v>
      </c>
      <c r="BR31" s="489">
        <v>24</v>
      </c>
      <c r="BS31" s="1113">
        <f t="shared" ca="1" si="23"/>
        <v>0</v>
      </c>
      <c r="BT31" s="1112">
        <f t="shared" ca="1" si="24"/>
        <v>3750.03</v>
      </c>
      <c r="BU31" s="1113">
        <f t="shared" ca="1" si="10"/>
        <v>4073.8728951656708</v>
      </c>
      <c r="BV31" s="1114">
        <f t="shared" ca="1" si="25"/>
        <v>7772.2294839760943</v>
      </c>
    </row>
    <row r="32" spans="2:74">
      <c r="C32" s="489"/>
      <c r="D32" s="489"/>
      <c r="S32" s="495"/>
      <c r="T32" s="489">
        <v>23</v>
      </c>
      <c r="U32" s="530">
        <f>ROUND('Deterministic Output VicSup'!A25+'Deterministic Output VicSup'!B25+'Deterministic Output VicSup'!C25+'Deterministic Output VicSup'!D25+'Deterministic Output VicSup'!E25+'Deterministic Output VicSup'!F25+'Deterministic Output VicSup'!G25,0)</f>
        <v>34151</v>
      </c>
      <c r="V32" s="530">
        <f>'Deterministic Output VicSup'!P25</f>
        <v>4991.9217130373991</v>
      </c>
      <c r="W32" s="530">
        <f>'Deterministic Output VicSup'!AB25</f>
        <v>0</v>
      </c>
      <c r="X32" s="530">
        <f>MROUND('Deterministic Output VicSup'!AA25,5)</f>
        <v>4990</v>
      </c>
      <c r="Y32" s="531">
        <f>U32*((1+Settings!$J$63)^22)</f>
        <v>58793.384798757877</v>
      </c>
      <c r="Z32" s="531">
        <f>V32*((1+Settings!$J$63)^22)</f>
        <v>8593.949640124225</v>
      </c>
      <c r="AA32" s="531">
        <f>W32*((1+Settings!$J$63)^22)</f>
        <v>0</v>
      </c>
      <c r="AB32" s="531">
        <f>X32*((1+Settings!$J$63)^22)</f>
        <v>8590.6412739246825</v>
      </c>
      <c r="AD32" s="489">
        <v>23</v>
      </c>
      <c r="AE32" s="1190">
        <f>ROUND('Deterministic Output'!A25+'Deterministic Output'!B25+'Deterministic Output'!C25+'Deterministic Output'!D25+'Deterministic Output'!E25+'Deterministic Output'!F25+'Deterministic Output'!G25,0)</f>
        <v>39234</v>
      </c>
      <c r="AF32" s="530">
        <f>'Deterministic Output'!P25</f>
        <v>4991.9217130373991</v>
      </c>
      <c r="AG32" s="530">
        <f>'Deterministic Output'!AB25</f>
        <v>0</v>
      </c>
      <c r="AH32" s="530">
        <f>MROUND('Deterministic Output'!AA25,5)</f>
        <v>4990</v>
      </c>
      <c r="AI32" s="531">
        <f>AE32*((1+Settings!$J$63)^22)</f>
        <v>67544.132212657511</v>
      </c>
      <c r="AJ32" s="531">
        <f>AF32*((1+Settings!$J$63)^22)</f>
        <v>8593.949640124225</v>
      </c>
      <c r="AK32" s="531">
        <f>AG32*((1+Settings!$J$63)^22)</f>
        <v>0</v>
      </c>
      <c r="AL32" s="531">
        <f>AH32*((1+Settings!$J$63)^22)</f>
        <v>8590.6412739246825</v>
      </c>
      <c r="AN32" s="530">
        <f>'Deterministic Output'!A25-'Deterministic Output VicSup'!A25</f>
        <v>0</v>
      </c>
      <c r="AO32" s="531">
        <f>AN32*((1+Settings!$J$63)^22)</f>
        <v>0</v>
      </c>
      <c r="AQ32" s="40"/>
      <c r="AR32" s="40"/>
      <c r="AS32" s="966" t="s">
        <v>1130</v>
      </c>
      <c r="AT32" s="961">
        <f ca="1">TaxableIncomePerson1+TaxableIncomePerson2</f>
        <v>142481.02087573399</v>
      </c>
      <c r="AU32" s="957">
        <f ca="1">TaxableIncomePerson1+TaxableIncomePerson2</f>
        <v>142481.02087573399</v>
      </c>
      <c r="AV32" s="489"/>
      <c r="BE32" s="489">
        <v>25</v>
      </c>
      <c r="BF32" s="489">
        <f t="shared" ca="1" si="13"/>
        <v>5000.04</v>
      </c>
      <c r="BG32" s="489">
        <f t="shared" ca="1" si="14"/>
        <v>3750.03</v>
      </c>
      <c r="BM32" s="489">
        <v>25</v>
      </c>
      <c r="BN32" s="1113">
        <f t="shared" ca="1" si="20"/>
        <v>0</v>
      </c>
      <c r="BO32" s="1112">
        <f t="shared" ca="1" si="21"/>
        <v>5000.04</v>
      </c>
      <c r="BP32" s="1113">
        <f t="shared" ca="1" si="8"/>
        <v>5431.8305268875611</v>
      </c>
      <c r="BQ32" s="1114">
        <f t="shared" ca="1" si="22"/>
        <v>10794.763172189032</v>
      </c>
      <c r="BR32" s="489">
        <v>25</v>
      </c>
      <c r="BS32" s="1113">
        <f t="shared" ca="1" si="23"/>
        <v>0</v>
      </c>
      <c r="BT32" s="1112">
        <f t="shared" ca="1" si="24"/>
        <v>3750.03</v>
      </c>
      <c r="BU32" s="1113">
        <f t="shared" ca="1" si="10"/>
        <v>4073.8728951656708</v>
      </c>
      <c r="BV32" s="1114">
        <f t="shared" ca="1" si="25"/>
        <v>8096.0723791417649</v>
      </c>
    </row>
    <row r="33" spans="3:74" ht="16.5" customHeight="1" thickBot="1">
      <c r="C33" s="368"/>
      <c r="D33" s="370" t="s">
        <v>917</v>
      </c>
      <c r="E33" s="370" t="s">
        <v>918</v>
      </c>
      <c r="F33" s="370" t="s">
        <v>3</v>
      </c>
      <c r="I33" s="428" t="s">
        <v>869</v>
      </c>
      <c r="J33" s="1405" t="s">
        <v>1305</v>
      </c>
      <c r="K33" s="1405"/>
      <c r="L33" s="1405"/>
      <c r="S33" s="495"/>
      <c r="T33" s="489">
        <v>24</v>
      </c>
      <c r="U33" s="530">
        <f>ROUND('Deterministic Output VicSup'!A26+'Deterministic Output VicSup'!B26+'Deterministic Output VicSup'!C26+'Deterministic Output VicSup'!D26+'Deterministic Output VicSup'!E26+'Deterministic Output VicSup'!F26+'Deterministic Output VicSup'!G26,0)</f>
        <v>34144</v>
      </c>
      <c r="V33" s="530">
        <f>'Deterministic Output VicSup'!P26</f>
        <v>4748.4133367916729</v>
      </c>
      <c r="W33" s="530">
        <f>'Deterministic Output VicSup'!AB26</f>
        <v>0</v>
      </c>
      <c r="X33" s="530">
        <f>MROUND('Deterministic Output VicSup'!AA26,5)</f>
        <v>4750</v>
      </c>
      <c r="Y33" s="531">
        <f>U33*((1+Settings!$J$63)^23)</f>
        <v>60250.867143949188</v>
      </c>
      <c r="Z33" s="531">
        <f>V33*((1+Settings!$J$63)^23)</f>
        <v>8379.1008991211202</v>
      </c>
      <c r="AA33" s="531">
        <f>W33*((1+Settings!$J$63)^23)</f>
        <v>0</v>
      </c>
      <c r="AB33" s="531">
        <f>X33*((1+Settings!$J$63)^23)</f>
        <v>8381.9007419680947</v>
      </c>
      <c r="AD33" s="489">
        <v>24</v>
      </c>
      <c r="AE33" s="1190">
        <f>ROUND('Deterministic Output'!A26+'Deterministic Output'!B26+'Deterministic Output'!C26+'Deterministic Output'!D26+'Deterministic Output'!E26+'Deterministic Output'!F26+'Deterministic Output'!G26,0)</f>
        <v>39102</v>
      </c>
      <c r="AF33" s="530">
        <f>'Deterministic Output'!P26</f>
        <v>4748.4133367916729</v>
      </c>
      <c r="AG33" s="530">
        <f>'Deterministic Output'!AB26</f>
        <v>0</v>
      </c>
      <c r="AH33" s="530">
        <f>MROUND('Deterministic Output'!AA26,5)</f>
        <v>4750</v>
      </c>
      <c r="AI33" s="531">
        <f>AE33*((1+Settings!$J$63)^23)</f>
        <v>68999.806907881357</v>
      </c>
      <c r="AJ33" s="531">
        <f>AF33*((1+Settings!$J$63)^23)</f>
        <v>8379.1008991211202</v>
      </c>
      <c r="AK33" s="531">
        <f>AG33*((1+Settings!$J$63)^23)</f>
        <v>0</v>
      </c>
      <c r="AL33" s="531">
        <f>AH33*((1+Settings!$J$63)^23)</f>
        <v>8381.9007419680947</v>
      </c>
      <c r="AN33" s="530">
        <f>'Deterministic Output'!A26-'Deterministic Output VicSup'!A26</f>
        <v>0</v>
      </c>
      <c r="AO33" s="531">
        <f>AN33*((1+Settings!$J$63)^23)</f>
        <v>0</v>
      </c>
      <c r="AQ33" s="40"/>
      <c r="AR33" s="40"/>
      <c r="AS33" s="966" t="s">
        <v>1131</v>
      </c>
      <c r="AT33" s="962">
        <f ca="1">IF(SAPTOEntlP1="Yes",ML_Lower_SaptoFamily,ML_lower_stdFamily)</f>
        <v>50868.470528876554</v>
      </c>
      <c r="AU33" s="957">
        <f ca="1">IF(SAPTOEntlP2="Yes",ML_Lower_SaptoFamily,ML_lower_stdFamily)</f>
        <v>50868.470528876554</v>
      </c>
      <c r="AV33" s="489"/>
      <c r="BE33" s="489">
        <v>26</v>
      </c>
      <c r="BF33" s="489">
        <f t="shared" ca="1" si="13"/>
        <v>5000.04</v>
      </c>
      <c r="BG33" s="489">
        <f t="shared" ca="1" si="14"/>
        <v>3750.03</v>
      </c>
      <c r="BM33" s="489">
        <v>26</v>
      </c>
      <c r="BN33" s="1113">
        <f t="shared" ca="1" si="20"/>
        <v>0</v>
      </c>
      <c r="BO33" s="1112">
        <f t="shared" ca="1" si="21"/>
        <v>5000.04</v>
      </c>
      <c r="BP33" s="1113">
        <f t="shared" ca="1" si="8"/>
        <v>5431.8305268875611</v>
      </c>
      <c r="BQ33" s="1114">
        <f t="shared" ca="1" si="22"/>
        <v>11226.553699076594</v>
      </c>
      <c r="BR33" s="489">
        <v>26</v>
      </c>
      <c r="BS33" s="1113">
        <f t="shared" ca="1" si="23"/>
        <v>0</v>
      </c>
      <c r="BT33" s="1112">
        <f t="shared" ca="1" si="24"/>
        <v>3750.03</v>
      </c>
      <c r="BU33" s="1113">
        <f t="shared" ca="1" si="10"/>
        <v>4073.8728951656708</v>
      </c>
      <c r="BV33" s="1114">
        <f t="shared" ca="1" si="25"/>
        <v>8419.9152743074355</v>
      </c>
    </row>
    <row r="34" spans="3:74" ht="16.5" thickBot="1">
      <c r="C34" s="836" t="s">
        <v>509</v>
      </c>
      <c r="D34" s="857">
        <f>APCPerson1DOB</f>
        <v>18264</v>
      </c>
      <c r="E34" s="858">
        <f ca="1">YEARFRAC(D34,Input!ValuationDate)</f>
        <v>66.891666666666666</v>
      </c>
      <c r="F34" s="858">
        <f ca="1">INT(E34)</f>
        <v>66</v>
      </c>
      <c r="I34" s="660" t="s">
        <v>1306</v>
      </c>
      <c r="J34" s="1405"/>
      <c r="K34" s="1405"/>
      <c r="L34" s="1405"/>
      <c r="N34" s="489"/>
      <c r="O34" s="8" t="s">
        <v>614</v>
      </c>
      <c r="P34" s="489"/>
      <c r="Q34" s="489"/>
      <c r="S34" s="495"/>
      <c r="T34" s="489">
        <v>25</v>
      </c>
      <c r="U34" s="530">
        <f>ROUND('Deterministic Output VicSup'!A27+'Deterministic Output VicSup'!B27+'Deterministic Output VicSup'!C27+'Deterministic Output VicSup'!D27+'Deterministic Output VicSup'!E27+'Deterministic Output VicSup'!F27+'Deterministic Output VicSup'!G27,0)</f>
        <v>34136</v>
      </c>
      <c r="V34" s="530">
        <f>'Deterministic Output VicSup'!P27</f>
        <v>4516.7834179237861</v>
      </c>
      <c r="W34" s="530">
        <f>'Deterministic Output VicSup'!AB27</f>
        <v>0</v>
      </c>
      <c r="X34" s="530">
        <f>MROUND('Deterministic Output VicSup'!AA27,5)</f>
        <v>4515</v>
      </c>
      <c r="Y34" s="531">
        <f>U34*((1+Settings!$J$63)^24)</f>
        <v>61742.669014951258</v>
      </c>
      <c r="Z34" s="531">
        <f>V34*((1+Settings!$J$63)^24)</f>
        <v>8169.6233766430914</v>
      </c>
      <c r="AA34" s="531">
        <f>W34*((1+Settings!$J$63)^24)</f>
        <v>0</v>
      </c>
      <c r="AB34" s="531">
        <f>X34*((1+Settings!$J$63)^24)</f>
        <v>8166.3976623653889</v>
      </c>
      <c r="AD34" s="489">
        <v>25</v>
      </c>
      <c r="AE34" s="1190">
        <f>ROUND('Deterministic Output'!A27+'Deterministic Output'!B27+'Deterministic Output'!C27+'Deterministic Output'!D27+'Deterministic Output'!E27+'Deterministic Output'!F27+'Deterministic Output'!G27,0)</f>
        <v>38974</v>
      </c>
      <c r="AF34" s="530">
        <f>'Deterministic Output'!P27</f>
        <v>4516.7834179237861</v>
      </c>
      <c r="AG34" s="530">
        <f>'Deterministic Output'!AB27</f>
        <v>0</v>
      </c>
      <c r="AH34" s="530">
        <f>MROUND('Deterministic Output'!AA27,5)</f>
        <v>4515</v>
      </c>
      <c r="AI34" s="531">
        <f>AE34*((1+Settings!$J$63)^24)</f>
        <v>70493.285159031817</v>
      </c>
      <c r="AJ34" s="531">
        <f>AF34*((1+Settings!$J$63)^24)</f>
        <v>8169.6233766430914</v>
      </c>
      <c r="AK34" s="531">
        <f>AG34*((1+Settings!$J$63)^24)</f>
        <v>0</v>
      </c>
      <c r="AL34" s="531">
        <f>AH34*((1+Settings!$J$63)^24)</f>
        <v>8166.3976623653889</v>
      </c>
      <c r="AN34" s="530">
        <f>'Deterministic Output'!A27-'Deterministic Output VicSup'!A27</f>
        <v>0</v>
      </c>
      <c r="AO34" s="531">
        <f>AN34*((1+Settings!$J$63)^24)</f>
        <v>0</v>
      </c>
      <c r="AQ34" s="40"/>
      <c r="AR34" s="40"/>
      <c r="AS34" s="966" t="s">
        <v>1132</v>
      </c>
      <c r="AT34" s="961">
        <f ca="1">MAX(0,CombinedTaxableIncomeP1-LowerFamillyLimitP1)</f>
        <v>91612.550346857432</v>
      </c>
      <c r="AU34" s="957">
        <f ca="1">MAX(0,CombinedTaxableIncomeP2-LowerFamillyLimitP2)</f>
        <v>91612.550346857432</v>
      </c>
      <c r="AV34" s="489"/>
      <c r="BE34" s="489">
        <v>27</v>
      </c>
      <c r="BF34" s="489">
        <f t="shared" ca="1" si="13"/>
        <v>5000.04</v>
      </c>
      <c r="BG34" s="489">
        <f t="shared" ca="1" si="14"/>
        <v>3750.03</v>
      </c>
      <c r="BM34" s="489">
        <v>27</v>
      </c>
      <c r="BN34" s="1113">
        <f t="shared" ca="1" si="20"/>
        <v>0</v>
      </c>
      <c r="BO34" s="1112">
        <f t="shared" ca="1" si="21"/>
        <v>5000.04</v>
      </c>
      <c r="BP34" s="1113">
        <f t="shared" ca="1" si="8"/>
        <v>5431.8305268875611</v>
      </c>
      <c r="BQ34" s="1114">
        <f t="shared" ca="1" si="22"/>
        <v>11658.344225964156</v>
      </c>
      <c r="BR34" s="489">
        <v>27</v>
      </c>
      <c r="BS34" s="1113">
        <f t="shared" ca="1" si="23"/>
        <v>0</v>
      </c>
      <c r="BT34" s="1112">
        <f t="shared" ca="1" si="24"/>
        <v>3750.03</v>
      </c>
      <c r="BU34" s="1113">
        <f t="shared" ca="1" si="10"/>
        <v>4073.8728951656708</v>
      </c>
      <c r="BV34" s="1114">
        <f t="shared" ca="1" si="25"/>
        <v>8743.7581694731052</v>
      </c>
    </row>
    <row r="35" spans="3:74">
      <c r="C35" s="836" t="s">
        <v>544</v>
      </c>
      <c r="D35" s="857">
        <f>APCPerson2DOB</f>
        <v>18265</v>
      </c>
      <c r="E35" s="858">
        <f ca="1">YEARFRAC(D35,Input!ValuationDate)</f>
        <v>66.888888888888886</v>
      </c>
      <c r="F35" s="858">
        <f ca="1">INT(E35)</f>
        <v>66</v>
      </c>
      <c r="J35" s="1405"/>
      <c r="K35" s="1405"/>
      <c r="L35" s="1405"/>
      <c r="N35" s="489"/>
      <c r="O35" s="762" t="s">
        <v>1175</v>
      </c>
      <c r="P35" s="764">
        <f ca="1">ROUND(('Age Pension additional calcs'!AF25+'Age Pension additional calcs'!AK5)-'Age Pension report'!AX134,0)</f>
        <v>29482</v>
      </c>
      <c r="Q35" s="489"/>
      <c r="S35" s="495"/>
      <c r="T35" s="489">
        <v>26</v>
      </c>
      <c r="U35" s="530">
        <f>ROUND('Deterministic Output VicSup'!A28+'Deterministic Output VicSup'!B28+'Deterministic Output VicSup'!C28+'Deterministic Output VicSup'!D28+'Deterministic Output VicSup'!E28+'Deterministic Output VicSup'!F28+'Deterministic Output VicSup'!G28,0)</f>
        <v>34129</v>
      </c>
      <c r="V35" s="530">
        <f>'Deterministic Output VicSup'!P28</f>
        <v>4296.4525194884791</v>
      </c>
      <c r="W35" s="530">
        <f>'Deterministic Output VicSup'!AB28</f>
        <v>0</v>
      </c>
      <c r="X35" s="530">
        <f>MROUND('Deterministic Output VicSup'!AA28,5)</f>
        <v>4295</v>
      </c>
      <c r="Y35" s="531">
        <f>U35*((1+Settings!$J$63)^25)</f>
        <v>63273.258131636772</v>
      </c>
      <c r="Z35" s="531">
        <f>V35*((1+Settings!$J$63)^25)</f>
        <v>7965.382792227012</v>
      </c>
      <c r="AA35" s="531">
        <f>W35*((1+Settings!$J$63)^25)</f>
        <v>0</v>
      </c>
      <c r="AB35" s="531">
        <f>X35*((1+Settings!$J$63)^25)</f>
        <v>7962.6899022936486</v>
      </c>
      <c r="AD35" s="489">
        <v>26</v>
      </c>
      <c r="AE35" s="1190">
        <f>ROUND('Deterministic Output'!A28+'Deterministic Output'!B28+'Deterministic Output'!C28+'Deterministic Output'!D28+'Deterministic Output'!E28+'Deterministic Output'!F28+'Deterministic Output'!G28,0)</f>
        <v>38848</v>
      </c>
      <c r="AF35" s="530">
        <f>'Deterministic Output'!P28</f>
        <v>4296.4525194884791</v>
      </c>
      <c r="AG35" s="530">
        <f>'Deterministic Output'!AB28</f>
        <v>0</v>
      </c>
      <c r="AH35" s="530">
        <f>MROUND('Deterministic Output'!AA28,5)</f>
        <v>4295</v>
      </c>
      <c r="AI35" s="531">
        <f>AE35*((1+Settings!$J$63)^25)</f>
        <v>72022.020331619016</v>
      </c>
      <c r="AJ35" s="531">
        <f>AF35*((1+Settings!$J$63)^25)</f>
        <v>7965.382792227012</v>
      </c>
      <c r="AK35" s="531">
        <f>AG35*((1+Settings!$J$63)^25)</f>
        <v>0</v>
      </c>
      <c r="AL35" s="531">
        <f>AH35*((1+Settings!$J$63)^25)</f>
        <v>7962.6899022936486</v>
      </c>
      <c r="AN35" s="530">
        <f>'Deterministic Output'!A28-'Deterministic Output VicSup'!A28</f>
        <v>0</v>
      </c>
      <c r="AO35" s="531">
        <f>AN35*((1+Settings!$J$63)^25)</f>
        <v>0</v>
      </c>
      <c r="AQ35" s="40"/>
      <c r="AR35" s="40"/>
      <c r="AS35" s="966" t="s">
        <v>1144</v>
      </c>
      <c r="AT35" s="961">
        <f ca="1">IF(OverFamilyLimitP1=0,0,ML_Rate*LowerFamillyLimitP1-(0.1-ML_Rate)*OverFamilyLimitP1)</f>
        <v>-6311.6346171710638</v>
      </c>
      <c r="AU35" s="957">
        <f ca="1">MAX(0,IF(OverFamilyLimitP2=0,0,ML_Rate*LowerFamillyLimitP2-(0.1-ML_Rate)*OverFamilyLimitP2))</f>
        <v>0</v>
      </c>
      <c r="AV35" s="489"/>
      <c r="BE35" s="489">
        <v>28</v>
      </c>
      <c r="BF35" s="489">
        <f t="shared" ca="1" si="13"/>
        <v>5000.04</v>
      </c>
      <c r="BG35" s="489">
        <f t="shared" ca="1" si="14"/>
        <v>3750.03</v>
      </c>
      <c r="BM35" s="489">
        <v>28</v>
      </c>
      <c r="BN35" s="1113">
        <f t="shared" ca="1" si="20"/>
        <v>0</v>
      </c>
      <c r="BO35" s="1112">
        <f t="shared" ca="1" si="21"/>
        <v>5000.04</v>
      </c>
      <c r="BP35" s="1113">
        <f t="shared" ca="1" si="8"/>
        <v>5431.8305268875611</v>
      </c>
      <c r="BQ35" s="1114">
        <f t="shared" ca="1" si="22"/>
        <v>12090.134752851718</v>
      </c>
      <c r="BR35" s="489">
        <v>28</v>
      </c>
      <c r="BS35" s="1113">
        <f t="shared" ca="1" si="23"/>
        <v>0</v>
      </c>
      <c r="BT35" s="1112">
        <f t="shared" ca="1" si="24"/>
        <v>3750.03</v>
      </c>
      <c r="BU35" s="1113">
        <f t="shared" ca="1" si="10"/>
        <v>4073.8728951656708</v>
      </c>
      <c r="BV35" s="1114">
        <f t="shared" ca="1" si="25"/>
        <v>9067.6010646387767</v>
      </c>
    </row>
    <row r="36" spans="3:74">
      <c r="N36" s="489"/>
      <c r="O36" s="762" t="s">
        <v>1176</v>
      </c>
      <c r="P36" s="1079">
        <f ca="1">ROUND(('Age Pension additional calcs'!AJ25+'Age Pension additional calcs'!AL5)-'Age Pension report'!AX127,0)</f>
        <v>42698</v>
      </c>
      <c r="Q36" s="489"/>
      <c r="S36" s="495"/>
      <c r="T36" s="489">
        <v>27</v>
      </c>
      <c r="U36" s="530">
        <f>ROUND('Deterministic Output VicSup'!A29+'Deterministic Output VicSup'!B29+'Deterministic Output VicSup'!C29+'Deterministic Output VicSup'!D29+'Deterministic Output VicSup'!E29+'Deterministic Output VicSup'!F29+'Deterministic Output VicSup'!G29,0)</f>
        <v>34121</v>
      </c>
      <c r="V36" s="530">
        <f>'Deterministic Output VicSup'!P29</f>
        <v>4086.8694697573337</v>
      </c>
      <c r="W36" s="530">
        <f>'Deterministic Output VicSup'!AB29</f>
        <v>0</v>
      </c>
      <c r="X36" s="530">
        <f>MROUND('Deterministic Output VicSup'!AA29,5)</f>
        <v>4085</v>
      </c>
      <c r="Y36" s="531">
        <f>U36*((1+Settings!$J$63)^26)</f>
        <v>64839.887243321442</v>
      </c>
      <c r="Z36" s="531">
        <f>V36*((1+Settings!$J$63)^26)</f>
        <v>7766.2482224213363</v>
      </c>
      <c r="AA36" s="531">
        <f>W36*((1+Settings!$J$63)^26)</f>
        <v>0</v>
      </c>
      <c r="AB36" s="531">
        <f>X36*((1+Settings!$J$63)^26)</f>
        <v>7762.6956826871456</v>
      </c>
      <c r="AD36" s="489">
        <v>27</v>
      </c>
      <c r="AE36" s="1190">
        <f>ROUND('Deterministic Output'!A29+'Deterministic Output'!B29+'Deterministic Output'!C29+'Deterministic Output'!D29+'Deterministic Output'!E29+'Deterministic Output'!F29+'Deterministic Output'!G29,0)</f>
        <v>38726</v>
      </c>
      <c r="AF36" s="530">
        <f>'Deterministic Output'!P29</f>
        <v>4086.8694697573337</v>
      </c>
      <c r="AG36" s="530">
        <f>'Deterministic Output'!AB29</f>
        <v>0</v>
      </c>
      <c r="AH36" s="530">
        <f>MROUND('Deterministic Output'!AA29,5)</f>
        <v>4085</v>
      </c>
      <c r="AI36" s="531">
        <f>AE36*((1+Settings!$J$63)^26)</f>
        <v>73590.735130414294</v>
      </c>
      <c r="AJ36" s="531">
        <f>AF36*((1+Settings!$J$63)^26)</f>
        <v>7766.2482224213363</v>
      </c>
      <c r="AK36" s="531">
        <f>AG36*((1+Settings!$J$63)^26)</f>
        <v>0</v>
      </c>
      <c r="AL36" s="531">
        <f>AH36*((1+Settings!$J$63)^26)</f>
        <v>7762.6956826871456</v>
      </c>
      <c r="AN36" s="530">
        <f>'Deterministic Output'!A29-'Deterministic Output VicSup'!A29</f>
        <v>0</v>
      </c>
      <c r="AO36" s="531">
        <f>AN36*((1+Settings!$J$63)^26)</f>
        <v>0</v>
      </c>
      <c r="AQ36" s="40"/>
      <c r="AR36" s="40"/>
      <c r="AS36" s="966" t="s">
        <v>1138</v>
      </c>
      <c r="AT36" s="961">
        <f ca="1">FamilyReductionP1*TaxableIncomePerson1/CombinedTaxableIncomeP1</f>
        <v>-3432.6835851426081</v>
      </c>
      <c r="AU36" s="957">
        <f ca="1">FamilyReductionP2*TaxableIncomePerson2/CombinedTaxableIncomeP2</f>
        <v>0</v>
      </c>
      <c r="AV36" s="489"/>
      <c r="BE36" s="489">
        <v>29</v>
      </c>
      <c r="BF36" s="489">
        <f t="shared" ca="1" si="13"/>
        <v>5000.04</v>
      </c>
      <c r="BG36" s="489">
        <f t="shared" ca="1" si="14"/>
        <v>3750.03</v>
      </c>
      <c r="BM36" s="489">
        <v>29</v>
      </c>
      <c r="BN36" s="1113">
        <f t="shared" ca="1" si="20"/>
        <v>0</v>
      </c>
      <c r="BO36" s="1112">
        <f t="shared" ca="1" si="21"/>
        <v>5000.04</v>
      </c>
      <c r="BP36" s="1113">
        <f t="shared" ca="1" si="8"/>
        <v>5431.8305268875611</v>
      </c>
      <c r="BQ36" s="1114">
        <f t="shared" ca="1" si="22"/>
        <v>12521.92527973928</v>
      </c>
      <c r="BR36" s="489">
        <v>29</v>
      </c>
      <c r="BS36" s="1113">
        <f t="shared" ca="1" si="23"/>
        <v>0</v>
      </c>
      <c r="BT36" s="1112">
        <f t="shared" ca="1" si="24"/>
        <v>3750.03</v>
      </c>
      <c r="BU36" s="1113">
        <f t="shared" ca="1" si="10"/>
        <v>4073.8728951656708</v>
      </c>
      <c r="BV36" s="1114">
        <f t="shared" ca="1" si="25"/>
        <v>9391.4439598044482</v>
      </c>
    </row>
    <row r="37" spans="3:74">
      <c r="I37" s="428" t="s">
        <v>698</v>
      </c>
      <c r="N37" s="489"/>
      <c r="O37" s="762" t="s">
        <v>1172</v>
      </c>
      <c r="P37" s="764">
        <f>ROUND(SUM(AN10:AN24),0)</f>
        <v>17319</v>
      </c>
      <c r="Q37" s="489"/>
      <c r="S37" s="495"/>
      <c r="T37" s="489">
        <v>28</v>
      </c>
      <c r="U37" s="530">
        <f>ROUND('Deterministic Output VicSup'!A30+'Deterministic Output VicSup'!B30+'Deterministic Output VicSup'!C30+'Deterministic Output VicSup'!D30+'Deterministic Output VicSup'!E30+'Deterministic Output VicSup'!F30+'Deterministic Output VicSup'!G30,0)</f>
        <v>34114</v>
      </c>
      <c r="V37" s="530">
        <f>'Deterministic Output VicSup'!P30</f>
        <v>3887.5099834277075</v>
      </c>
      <c r="W37" s="530">
        <f>'Deterministic Output VicSup'!AB30</f>
        <v>0</v>
      </c>
      <c r="X37" s="530">
        <f>MROUND('Deterministic Output VicSup'!AA30,5)</f>
        <v>3890</v>
      </c>
      <c r="Y37" s="531">
        <f>U37*((1+Settings!$J$63)^27)</f>
        <v>66447.249824276383</v>
      </c>
      <c r="Z37" s="531">
        <f>V37*((1+Settings!$J$63)^27)</f>
        <v>7572.0920168608027</v>
      </c>
      <c r="AA37" s="531">
        <f>W37*((1+Settings!$J$63)^27)</f>
        <v>0</v>
      </c>
      <c r="AB37" s="531">
        <f>X37*((1+Settings!$J$63)^27)</f>
        <v>7576.9420711858802</v>
      </c>
      <c r="AD37" s="489">
        <v>28</v>
      </c>
      <c r="AE37" s="1190">
        <f>ROUND('Deterministic Output'!A30+'Deterministic Output'!B30+'Deterministic Output'!C30+'Deterministic Output'!D30+'Deterministic Output'!E30+'Deterministic Output'!F30+'Deterministic Output'!G30,0)</f>
        <v>38606</v>
      </c>
      <c r="AF37" s="530">
        <f>'Deterministic Output'!P30</f>
        <v>3887.5099834277075</v>
      </c>
      <c r="AG37" s="530">
        <f>'Deterministic Output'!AB30</f>
        <v>0</v>
      </c>
      <c r="AH37" s="530">
        <f>MROUND('Deterministic Output'!AA30,5)</f>
        <v>3890</v>
      </c>
      <c r="AI37" s="531">
        <f>AE37*((1+Settings!$J$63)^27)</f>
        <v>75196.767506478689</v>
      </c>
      <c r="AJ37" s="531">
        <f>AF37*((1+Settings!$J$63)^27)</f>
        <v>7572.0920168608027</v>
      </c>
      <c r="AK37" s="531">
        <f>AG37*((1+Settings!$J$63)^27)</f>
        <v>0</v>
      </c>
      <c r="AL37" s="531">
        <f>AH37*((1+Settings!$J$63)^27)</f>
        <v>7576.9420711858802</v>
      </c>
      <c r="AN37" s="530">
        <f>'Deterministic Output'!A30-'Deterministic Output VicSup'!A30</f>
        <v>0</v>
      </c>
      <c r="AO37" s="531">
        <f>AN37*((1+Settings!$J$63)^27)</f>
        <v>0</v>
      </c>
      <c r="AQ37" s="40"/>
      <c r="AR37" s="40"/>
      <c r="AS37" s="966" t="s">
        <v>1145</v>
      </c>
      <c r="AT37" s="961">
        <f ca="1">MAX(0,FamilyReductionP1-SpousePortionP1-MedicareLvySingleP2)</f>
        <v>0</v>
      </c>
      <c r="AU37" s="957">
        <f ca="1">MAX(0,FamilyReductionP2-SpousePortionP2-MedicareLvySingleP1)</f>
        <v>0</v>
      </c>
      <c r="BE37" s="489">
        <v>30</v>
      </c>
      <c r="BF37" s="489">
        <f t="shared" ca="1" si="13"/>
        <v>5000.04</v>
      </c>
      <c r="BG37" s="489">
        <f t="shared" ca="1" si="14"/>
        <v>3750.03</v>
      </c>
      <c r="BM37" s="489">
        <v>30</v>
      </c>
      <c r="BN37" s="1113">
        <f t="shared" ca="1" si="20"/>
        <v>0</v>
      </c>
      <c r="BO37" s="1112">
        <f t="shared" ca="1" si="21"/>
        <v>5000.04</v>
      </c>
      <c r="BP37" s="1113">
        <f t="shared" ca="1" si="8"/>
        <v>5431.8305268875611</v>
      </c>
      <c r="BQ37" s="1114">
        <f t="shared" ca="1" si="22"/>
        <v>12953.715806626842</v>
      </c>
      <c r="BR37" s="489">
        <v>30</v>
      </c>
      <c r="BS37" s="1113">
        <f t="shared" ca="1" si="23"/>
        <v>0</v>
      </c>
      <c r="BT37" s="1112">
        <f t="shared" ca="1" si="24"/>
        <v>3750.03</v>
      </c>
      <c r="BU37" s="1113">
        <f t="shared" ca="1" si="10"/>
        <v>4073.8728951656708</v>
      </c>
      <c r="BV37" s="1114">
        <f t="shared" ca="1" si="25"/>
        <v>9715.2868549701197</v>
      </c>
    </row>
    <row r="38" spans="3:74">
      <c r="H38" t="s">
        <v>77</v>
      </c>
      <c r="I38" s="489">
        <f>'Test Sheet'!AG21/26</f>
        <v>469.65000000000003</v>
      </c>
      <c r="N38" s="489"/>
      <c r="O38" s="762" t="s">
        <v>1171</v>
      </c>
      <c r="P38" s="764">
        <f>SUM(AO10:AO24)</f>
        <v>20469.602069188568</v>
      </c>
      <c r="Q38" s="489"/>
      <c r="S38" s="495"/>
      <c r="T38" s="489">
        <v>29</v>
      </c>
      <c r="U38" s="530">
        <f>ROUND('Deterministic Output VicSup'!A31+'Deterministic Output VicSup'!B31+'Deterministic Output VicSup'!C31+'Deterministic Output VicSup'!D31+'Deterministic Output VicSup'!E31+'Deterministic Output VicSup'!F31+'Deterministic Output VicSup'!G31,0)</f>
        <v>34107</v>
      </c>
      <c r="V38" s="530">
        <f>'Deterministic Output VicSup'!P31</f>
        <v>3697.8753500897706</v>
      </c>
      <c r="W38" s="530">
        <f>'Deterministic Output VicSup'!AB31</f>
        <v>0</v>
      </c>
      <c r="X38" s="530">
        <f>MROUND('Deterministic Output VicSup'!AA31,5)</f>
        <v>3700</v>
      </c>
      <c r="Y38" s="531">
        <f>U38*((1+Settings!$J$63)^28)</f>
        <v>68094.455604751987</v>
      </c>
      <c r="Z38" s="531">
        <f>V38*((1+Settings!$J$63)^28)</f>
        <v>7382.7897164392816</v>
      </c>
      <c r="AA38" s="531">
        <f>W38*((1+Settings!$J$63)^28)</f>
        <v>0</v>
      </c>
      <c r="AB38" s="531">
        <f>X38*((1+Settings!$J$63)^28)</f>
        <v>7387.0315694016581</v>
      </c>
      <c r="AD38" s="489">
        <v>29</v>
      </c>
      <c r="AE38" s="1190">
        <f>ROUND('Deterministic Output'!A31+'Deterministic Output'!B31+'Deterministic Output'!C31+'Deterministic Output'!D31+'Deterministic Output'!E31+'Deterministic Output'!F31+'Deterministic Output'!G31,0)</f>
        <v>38490</v>
      </c>
      <c r="AF38" s="530">
        <f>'Deterministic Output'!P31</f>
        <v>3697.8753500897706</v>
      </c>
      <c r="AG38" s="530">
        <f>'Deterministic Output'!AB31</f>
        <v>0</v>
      </c>
      <c r="AH38" s="530">
        <f>MROUND('Deterministic Output'!AA31,5)</f>
        <v>3700</v>
      </c>
      <c r="AI38" s="531">
        <f>AE38*((1+Settings!$J$63)^28)</f>
        <v>76845.093271964812</v>
      </c>
      <c r="AJ38" s="531">
        <f>AF38*((1+Settings!$J$63)^28)</f>
        <v>7382.7897164392816</v>
      </c>
      <c r="AK38" s="531">
        <f>AG38*((1+Settings!$J$63)^28)</f>
        <v>0</v>
      </c>
      <c r="AL38" s="531">
        <f>AH38*((1+Settings!$J$63)^28)</f>
        <v>7387.0315694016581</v>
      </c>
      <c r="AN38" s="530">
        <f>'Deterministic Output'!A31-'Deterministic Output VicSup'!A31</f>
        <v>0</v>
      </c>
      <c r="AO38" s="531">
        <f>AN38*((1+Settings!$J$63)^28)</f>
        <v>0</v>
      </c>
      <c r="AQ38" s="40"/>
      <c r="AR38" s="40"/>
      <c r="AS38" s="966" t="s">
        <v>1139</v>
      </c>
      <c r="AT38" s="961">
        <f ca="1">MAX(0,SpousePortionP1+ExcessTransferP1)</f>
        <v>0</v>
      </c>
      <c r="AU38" s="957">
        <f ca="1">MAX(0,SpousePortionP2+ExcessTransferP2)</f>
        <v>0</v>
      </c>
      <c r="BE38" s="489">
        <v>31</v>
      </c>
      <c r="BF38" s="489">
        <f t="shared" ca="1" si="13"/>
        <v>5000.04</v>
      </c>
      <c r="BG38" s="489">
        <f t="shared" ca="1" si="14"/>
        <v>3750.03</v>
      </c>
      <c r="BM38" s="489">
        <v>31</v>
      </c>
      <c r="BN38" s="1113">
        <f t="shared" ca="1" si="20"/>
        <v>0</v>
      </c>
      <c r="BO38" s="1112">
        <f t="shared" ca="1" si="21"/>
        <v>5000.04</v>
      </c>
      <c r="BP38" s="1113">
        <f t="shared" ca="1" si="8"/>
        <v>5431.8305268875611</v>
      </c>
      <c r="BQ38" s="1114">
        <f t="shared" ca="1" si="22"/>
        <v>13385.506333514404</v>
      </c>
      <c r="BR38" s="489">
        <v>31</v>
      </c>
      <c r="BS38" s="1113">
        <f t="shared" ca="1" si="23"/>
        <v>0</v>
      </c>
      <c r="BT38" s="1112">
        <f t="shared" ca="1" si="24"/>
        <v>3750.03</v>
      </c>
      <c r="BU38" s="1113">
        <f t="shared" ca="1" si="10"/>
        <v>4073.8728951656708</v>
      </c>
      <c r="BV38" s="1114">
        <f t="shared" ca="1" si="25"/>
        <v>10039.129750135791</v>
      </c>
    </row>
    <row r="39" spans="3:74">
      <c r="H39" t="s">
        <v>466</v>
      </c>
      <c r="I39">
        <f>'Test Sheet'!AH21/26</f>
        <v>0</v>
      </c>
      <c r="N39" s="489"/>
      <c r="O39" s="762" t="s">
        <v>1173</v>
      </c>
      <c r="P39" s="1045">
        <f>ROUND(SUM('Age Pension report'!H168:AZ169),0)-ROUND(SUM('Age Pension report'!H132:AZ133),0)</f>
        <v>0</v>
      </c>
      <c r="Q39" s="489"/>
      <c r="S39" s="495"/>
      <c r="T39" s="489">
        <v>30</v>
      </c>
      <c r="U39" s="530">
        <f>ROUND('Deterministic Output VicSup'!A32+'Deterministic Output VicSup'!B32+'Deterministic Output VicSup'!C32+'Deterministic Output VicSup'!D32+'Deterministic Output VicSup'!E32+'Deterministic Output VicSup'!F32+'Deterministic Output VicSup'!G32,0)</f>
        <v>34101</v>
      </c>
      <c r="V39" s="530">
        <f>'Deterministic Output VicSup'!P32</f>
        <v>3517.4911866707575</v>
      </c>
      <c r="W39" s="530">
        <f>'Deterministic Output VicSup'!AB32</f>
        <v>0</v>
      </c>
      <c r="X39" s="530">
        <f>MROUND('Deterministic Output VicSup'!AA32,5)</f>
        <v>3515</v>
      </c>
      <c r="Y39" s="531">
        <f>U39*((1+Settings!$J$63)^29)</f>
        <v>69784.538550505429</v>
      </c>
      <c r="Z39" s="531">
        <f>V39*((1+Settings!$J$63)^29)</f>
        <v>7198.2199735283011</v>
      </c>
      <c r="AA39" s="531">
        <f>W39*((1+Settings!$J$63)^29)</f>
        <v>0</v>
      </c>
      <c r="AB39" s="531">
        <f>X39*((1+Settings!$J$63)^29)</f>
        <v>7193.1219907048653</v>
      </c>
      <c r="AD39" s="489">
        <v>30</v>
      </c>
      <c r="AE39" s="1190">
        <f>ROUND('Deterministic Output'!A32+'Deterministic Output'!B32+'Deterministic Output'!C32+'Deterministic Output'!D32+'Deterministic Output'!E32+'Deterministic Output'!F32+'Deterministic Output'!G32,0)</f>
        <v>38376</v>
      </c>
      <c r="AF39" s="530">
        <f>'Deterministic Output'!P32</f>
        <v>3517.4911866707575</v>
      </c>
      <c r="AG39" s="530">
        <f>'Deterministic Output'!AB32</f>
        <v>0</v>
      </c>
      <c r="AH39" s="530">
        <f>MROUND('Deterministic Output'!AA32,5)</f>
        <v>3515</v>
      </c>
      <c r="AI39" s="531">
        <f>AE39*((1+Settings!$J$63)^29)</f>
        <v>78532.930160822158</v>
      </c>
      <c r="AJ39" s="531">
        <f>AF39*((1+Settings!$J$63)^29)</f>
        <v>7198.2199735283011</v>
      </c>
      <c r="AK39" s="531">
        <f>AG39*((1+Settings!$J$63)^29)</f>
        <v>0</v>
      </c>
      <c r="AL39" s="531">
        <f>AH39*((1+Settings!$J$63)^29)</f>
        <v>7193.1219907048653</v>
      </c>
      <c r="AN39" s="530">
        <f>'Deterministic Output'!A32-'Deterministic Output VicSup'!A32</f>
        <v>0</v>
      </c>
      <c r="AO39" s="531">
        <f>AN39*((1+Settings!$J$63)^29)</f>
        <v>0</v>
      </c>
      <c r="AQ39" s="958"/>
      <c r="AR39" s="958"/>
      <c r="AS39" s="967" t="s">
        <v>1140</v>
      </c>
      <c r="AT39" s="963">
        <f ca="1">IF(CombinedTaxableIncomeP1&lt;=LowerFamillyLimitP1,0,MAX(0,MedicareLvySingleP1-SpouseShareP1))</f>
        <v>1549.8117087573401</v>
      </c>
      <c r="AU39" s="959">
        <f ca="1">IF(CombinedTaxableIncomeP2&lt;=LowerFamillyLimitP2,0,MAX(0,MedicareLvySingleP2-SpouseShareP2))</f>
        <v>1299.8087087573399</v>
      </c>
      <c r="BE39" s="489">
        <v>32</v>
      </c>
      <c r="BF39" s="489">
        <f t="shared" ca="1" si="13"/>
        <v>5000.04</v>
      </c>
      <c r="BG39" s="489">
        <f t="shared" ca="1" si="14"/>
        <v>3750.03</v>
      </c>
      <c r="BM39" s="489">
        <v>32</v>
      </c>
      <c r="BN39" s="1113">
        <f t="shared" ca="1" si="20"/>
        <v>0</v>
      </c>
      <c r="BO39" s="1112">
        <f t="shared" ca="1" si="21"/>
        <v>5000.04</v>
      </c>
      <c r="BP39" s="1113">
        <f t="shared" ca="1" si="8"/>
        <v>5431.8305268875611</v>
      </c>
      <c r="BQ39" s="1114">
        <f t="shared" ca="1" si="22"/>
        <v>13817.296860401966</v>
      </c>
      <c r="BR39" s="489">
        <v>32</v>
      </c>
      <c r="BS39" s="1113">
        <f t="shared" ca="1" si="23"/>
        <v>0</v>
      </c>
      <c r="BT39" s="1112">
        <f t="shared" ca="1" si="24"/>
        <v>3750.03</v>
      </c>
      <c r="BU39" s="1113">
        <f t="shared" ca="1" si="10"/>
        <v>4073.8728951656708</v>
      </c>
      <c r="BV39" s="1114">
        <f t="shared" ca="1" si="25"/>
        <v>10362.972645301463</v>
      </c>
    </row>
    <row r="40" spans="3:74">
      <c r="H40" t="s">
        <v>873</v>
      </c>
      <c r="I40">
        <f>I38-I39</f>
        <v>469.65000000000003</v>
      </c>
      <c r="N40" s="489"/>
      <c r="O40" s="762" t="s">
        <v>1174</v>
      </c>
      <c r="P40" s="764">
        <f>ROUND(SUM('Age Pension report'!H161:AZ162),0)-ROUND(SUM('Age Pension report'!H125:AZ126),0)</f>
        <v>0</v>
      </c>
      <c r="Q40" s="489"/>
      <c r="S40" s="495"/>
      <c r="T40" s="489">
        <v>31</v>
      </c>
      <c r="U40" s="530">
        <f>ROUND('Deterministic Output VicSup'!A33+'Deterministic Output VicSup'!B33+'Deterministic Output VicSup'!C33+'Deterministic Output VicSup'!D33+'Deterministic Output VicSup'!E33+'Deterministic Output VicSup'!F33+'Deterministic Output VicSup'!G33,0)</f>
        <v>34094</v>
      </c>
      <c r="V40" s="530">
        <f>'Deterministic Output VicSup'!P33</f>
        <v>3345.9062507355989</v>
      </c>
      <c r="W40" s="530">
        <f>'Deterministic Output VicSup'!AB33</f>
        <v>0</v>
      </c>
      <c r="X40" s="530">
        <f>MROUND('Deterministic Output VicSup'!AA33,5)</f>
        <v>3345</v>
      </c>
      <c r="Y40" s="531">
        <f>U40*((1+Settings!$J$63)^30)</f>
        <v>71514.469041214485</v>
      </c>
      <c r="Z40" s="531">
        <f>V40*((1+Settings!$J$63)^30)</f>
        <v>7018.2644741900922</v>
      </c>
      <c r="AA40" s="531">
        <f>W40*((1+Settings!$J$63)^30)</f>
        <v>0</v>
      </c>
      <c r="AB40" s="531">
        <f>X40*((1+Settings!$J$63)^30)</f>
        <v>7016.3635520285807</v>
      </c>
      <c r="AD40" s="489">
        <v>31</v>
      </c>
      <c r="AE40" s="1190">
        <f>ROUND('Deterministic Output'!A33+'Deterministic Output'!B33+'Deterministic Output'!C33+'Deterministic Output'!D33+'Deterministic Output'!E33+'Deterministic Output'!F33+'Deterministic Output'!G33,0)</f>
        <v>38266</v>
      </c>
      <c r="AF40" s="530">
        <f>'Deterministic Output'!P33</f>
        <v>3345.9062507355989</v>
      </c>
      <c r="AG40" s="530">
        <f>'Deterministic Output'!AB33</f>
        <v>0</v>
      </c>
      <c r="AH40" s="530">
        <f>MROUND('Deterministic Output'!AA33,5)</f>
        <v>3345</v>
      </c>
      <c r="AI40" s="531">
        <f>AE40*((1+Settings!$J$63)^30)</f>
        <v>80265.520981143694</v>
      </c>
      <c r="AJ40" s="531">
        <f>AF40*((1+Settings!$J$63)^30)</f>
        <v>7018.2644741900922</v>
      </c>
      <c r="AK40" s="531">
        <f>AG40*((1+Settings!$J$63)^30)</f>
        <v>0</v>
      </c>
      <c r="AL40" s="531">
        <f>AH40*((1+Settings!$J$63)^30)</f>
        <v>7016.3635520285807</v>
      </c>
      <c r="AN40" s="530">
        <f>'Deterministic Output'!A33-'Deterministic Output VicSup'!A33</f>
        <v>0</v>
      </c>
      <c r="AO40" s="531">
        <f>AN40*((1+Settings!$J$63)^30)</f>
        <v>0</v>
      </c>
      <c r="AQ40" s="973"/>
      <c r="AR40" s="973"/>
      <c r="AS40" s="951" t="s">
        <v>1141</v>
      </c>
      <c r="AT40" s="952">
        <f ca="1">MAX(0,TaxBeforeOffsetsPerson1-LITOP1-SAPTOP1)+MedicareLvyP1</f>
        <v>14539.76922796711</v>
      </c>
      <c r="AU40" s="952">
        <f ca="1">IF(Relationship="Single",0,MAX(0,TaxBeforeOffsetsPerson2-LITOP2-SAPTOP2)+MedicareLvyP2)</f>
        <v>10039.715227967108</v>
      </c>
      <c r="BE40" s="489">
        <v>33</v>
      </c>
      <c r="BF40" s="489">
        <f t="shared" ca="1" si="13"/>
        <v>5000.04</v>
      </c>
      <c r="BG40" s="489">
        <f t="shared" ca="1" si="14"/>
        <v>3750.03</v>
      </c>
      <c r="BM40" s="489">
        <v>33</v>
      </c>
      <c r="BN40" s="1113">
        <f t="shared" ca="1" si="20"/>
        <v>0</v>
      </c>
      <c r="BO40" s="1112">
        <f t="shared" ca="1" si="21"/>
        <v>5000.04</v>
      </c>
      <c r="BP40" s="1113">
        <f t="shared" ca="1" si="8"/>
        <v>5431.8305268875611</v>
      </c>
      <c r="BQ40" s="1114">
        <f t="shared" ca="1" si="22"/>
        <v>14249.087387289528</v>
      </c>
      <c r="BR40" s="489">
        <v>33</v>
      </c>
      <c r="BS40" s="1113">
        <f t="shared" ca="1" si="23"/>
        <v>0</v>
      </c>
      <c r="BT40" s="1112">
        <f t="shared" ca="1" si="24"/>
        <v>3750.03</v>
      </c>
      <c r="BU40" s="1113">
        <f t="shared" ca="1" si="10"/>
        <v>4073.8728951656708</v>
      </c>
      <c r="BV40" s="1114">
        <f t="shared" ca="1" si="25"/>
        <v>10686.815540467134</v>
      </c>
    </row>
    <row r="41" spans="3:74">
      <c r="N41" s="489"/>
      <c r="P41" s="45"/>
      <c r="Q41" s="489"/>
      <c r="S41" s="495"/>
      <c r="T41" s="489">
        <v>32</v>
      </c>
      <c r="U41" s="530">
        <f>ROUND('Deterministic Output VicSup'!A34+'Deterministic Output VicSup'!B34+'Deterministic Output VicSup'!C34+'Deterministic Output VicSup'!D34+'Deterministic Output VicSup'!E34+'Deterministic Output VicSup'!F34+'Deterministic Output VicSup'!G34,0)</f>
        <v>34088</v>
      </c>
      <c r="V41" s="530">
        <f>'Deterministic Output VicSup'!P34</f>
        <v>3182.6913116753258</v>
      </c>
      <c r="W41" s="530">
        <f>'Deterministic Output VicSup'!AB34</f>
        <v>0</v>
      </c>
      <c r="X41" s="530">
        <f>MROUND('Deterministic Output VicSup'!AA34,5)</f>
        <v>3185</v>
      </c>
      <c r="Y41" s="531">
        <f>U41*((1+Settings!$J$63)^31)</f>
        <v>73289.430726633509</v>
      </c>
      <c r="Z41" s="531">
        <f>V41*((1+Settings!$J$63)^31)</f>
        <v>6842.8078623353422</v>
      </c>
      <c r="AA41" s="531">
        <f>W41*((1+Settings!$J$63)^31)</f>
        <v>0</v>
      </c>
      <c r="AB41" s="531">
        <f>X41*((1+Settings!$J$63)^31)</f>
        <v>6847.7715578598845</v>
      </c>
      <c r="AD41" s="489">
        <v>32</v>
      </c>
      <c r="AE41" s="1190">
        <f>ROUND('Deterministic Output'!A34+'Deterministic Output'!B34+'Deterministic Output'!C34+'Deterministic Output'!D34+'Deterministic Output'!E34+'Deterministic Output'!F34+'Deterministic Output'!G34,0)</f>
        <v>38157</v>
      </c>
      <c r="AF41" s="530">
        <f>'Deterministic Output'!P34</f>
        <v>3182.6913116753258</v>
      </c>
      <c r="AG41" s="530">
        <f>'Deterministic Output'!AB34</f>
        <v>0</v>
      </c>
      <c r="AH41" s="530">
        <f>MROUND('Deterministic Output'!AA34,5)</f>
        <v>3185</v>
      </c>
      <c r="AI41" s="531">
        <f>AE41*((1+Settings!$J$63)^31)</f>
        <v>82037.808267899396</v>
      </c>
      <c r="AJ41" s="531">
        <f>AF41*((1+Settings!$J$63)^31)</f>
        <v>6842.8078623353422</v>
      </c>
      <c r="AK41" s="531">
        <f>AG41*((1+Settings!$J$63)^31)</f>
        <v>0</v>
      </c>
      <c r="AL41" s="531">
        <f>AH41*((1+Settings!$J$63)^31)</f>
        <v>6847.7715578598845</v>
      </c>
      <c r="AN41" s="530">
        <f>'Deterministic Output'!A34-'Deterministic Output VicSup'!A34</f>
        <v>0</v>
      </c>
      <c r="AO41" s="531">
        <f>AN41*((1+Settings!$J$63)^31)</f>
        <v>0</v>
      </c>
      <c r="AS41" s="48" t="s">
        <v>1142</v>
      </c>
      <c r="AT41" s="949">
        <f ca="1">AT40+AU40</f>
        <v>24579.484455934216</v>
      </c>
      <c r="AU41" s="86"/>
      <c r="BE41" s="489">
        <v>34</v>
      </c>
      <c r="BF41" s="489">
        <f t="shared" ca="1" si="13"/>
        <v>5000.04</v>
      </c>
      <c r="BG41" s="489">
        <f t="shared" ca="1" si="14"/>
        <v>3750.03</v>
      </c>
      <c r="BM41" s="489">
        <v>34</v>
      </c>
      <c r="BN41" s="1113">
        <f t="shared" ca="1" si="20"/>
        <v>0</v>
      </c>
      <c r="BO41" s="1112">
        <f t="shared" ca="1" si="21"/>
        <v>5000.04</v>
      </c>
      <c r="BP41" s="1113">
        <f t="shared" ca="1" si="8"/>
        <v>5431.8305268875611</v>
      </c>
      <c r="BQ41" s="1114">
        <f t="shared" ca="1" si="22"/>
        <v>14680.87791417709</v>
      </c>
      <c r="BR41" s="489">
        <v>34</v>
      </c>
      <c r="BS41" s="1113">
        <f t="shared" ca="1" si="23"/>
        <v>0</v>
      </c>
      <c r="BT41" s="1112">
        <f t="shared" ca="1" si="24"/>
        <v>3750.03</v>
      </c>
      <c r="BU41" s="1113">
        <f t="shared" ca="1" si="10"/>
        <v>4073.8728951656708</v>
      </c>
      <c r="BV41" s="1114">
        <f t="shared" ca="1" si="25"/>
        <v>11010.658435632806</v>
      </c>
    </row>
    <row r="42" spans="3:74">
      <c r="O42" s="759" t="s">
        <v>1154</v>
      </c>
      <c r="P42" s="1032">
        <f ca="1">IF(AND('Admin Settings'!X86=0,'Admin Settings'!X87=0),0,(ChalLLAnnuityPerson1+IF(Relationship="Couple",ChalLLAnnuityPerson2,0))/(PensionBalance1+IF(Relationship="Couple",PensionBalance2,0)+APCPersonalAssets+TermDeposit+APCNonSuperDeemed+APCProperty))</f>
        <v>0.20231213872832371</v>
      </c>
      <c r="S42" s="495"/>
      <c r="T42" s="489">
        <v>33</v>
      </c>
      <c r="U42" s="530">
        <f>ROUND('Deterministic Output VicSup'!A35+'Deterministic Output VicSup'!B35+'Deterministic Output VicSup'!C35+'Deterministic Output VicSup'!D35+'Deterministic Output VicSup'!E35+'Deterministic Output VicSup'!F35+'Deterministic Output VicSup'!G35,0)</f>
        <v>34081</v>
      </c>
      <c r="V42" s="530">
        <f>'Deterministic Output VicSup'!P35</f>
        <v>3027.4380769594563</v>
      </c>
      <c r="W42" s="530">
        <f>'Deterministic Output VicSup'!AB35</f>
        <v>0</v>
      </c>
      <c r="X42" s="530">
        <f>MROUND('Deterministic Output VicSup'!AA35,5)</f>
        <v>3025</v>
      </c>
      <c r="Y42" s="531">
        <f>U42*((1+Settings!$J$63)^32)</f>
        <v>75106.240196234925</v>
      </c>
      <c r="Z42" s="531">
        <f>V42*((1+Settings!$J$63)^32)</f>
        <v>6671.7376657769573</v>
      </c>
      <c r="AA42" s="531">
        <f>W42*((1+Settings!$J$63)^32)</f>
        <v>0</v>
      </c>
      <c r="AB42" s="531">
        <f>X42*((1+Settings!$J$63)^32)</f>
        <v>6666.3647367627309</v>
      </c>
      <c r="AD42" s="489">
        <v>33</v>
      </c>
      <c r="AE42" s="1190">
        <f>ROUND('Deterministic Output'!A35+'Deterministic Output'!B35+'Deterministic Output'!C35+'Deterministic Output'!D35+'Deterministic Output'!E35+'Deterministic Output'!F35+'Deterministic Output'!G35,0)</f>
        <v>38052</v>
      </c>
      <c r="AF42" s="530">
        <f>'Deterministic Output'!P35</f>
        <v>3027.4380769594563</v>
      </c>
      <c r="AG42" s="530">
        <f>'Deterministic Output'!AB35</f>
        <v>0</v>
      </c>
      <c r="AH42" s="530">
        <f>MROUND('Deterministic Output'!AA35,5)</f>
        <v>3025</v>
      </c>
      <c r="AI42" s="531">
        <f>AE42*((1+Settings!$J$63)^32)</f>
        <v>83857.35899613073</v>
      </c>
      <c r="AJ42" s="531">
        <f>AF42*((1+Settings!$J$63)^32)</f>
        <v>6671.7376657769573</v>
      </c>
      <c r="AK42" s="531">
        <f>AG42*((1+Settings!$J$63)^32)</f>
        <v>0</v>
      </c>
      <c r="AL42" s="531">
        <f>AH42*((1+Settings!$J$63)^32)</f>
        <v>6666.3647367627309</v>
      </c>
      <c r="AN42" s="530">
        <f>'Deterministic Output'!A35-'Deterministic Output VicSup'!A35</f>
        <v>0</v>
      </c>
      <c r="AO42" s="531">
        <f>AN42*((1+Settings!$J$63)^32)</f>
        <v>0</v>
      </c>
      <c r="BE42" s="489">
        <v>35</v>
      </c>
      <c r="BF42" s="489">
        <f t="shared" ca="1" si="13"/>
        <v>5000.04</v>
      </c>
      <c r="BG42" s="489">
        <f t="shared" ca="1" si="14"/>
        <v>3750.03</v>
      </c>
      <c r="BM42" s="489">
        <v>35</v>
      </c>
      <c r="BN42" s="1113">
        <f t="shared" ca="1" si="20"/>
        <v>0</v>
      </c>
      <c r="BO42" s="1112">
        <f t="shared" ca="1" si="21"/>
        <v>5000.04</v>
      </c>
      <c r="BP42" s="1113">
        <f t="shared" ca="1" si="8"/>
        <v>5431.8305268875611</v>
      </c>
      <c r="BQ42" s="1114">
        <f t="shared" ca="1" si="22"/>
        <v>15112.668441064652</v>
      </c>
      <c r="BR42" s="489">
        <v>35</v>
      </c>
      <c r="BS42" s="1113">
        <f t="shared" ca="1" si="23"/>
        <v>0</v>
      </c>
      <c r="BT42" s="1112">
        <f t="shared" ca="1" si="24"/>
        <v>3750.03</v>
      </c>
      <c r="BU42" s="1113">
        <f t="shared" ca="1" si="10"/>
        <v>4073.8728951656708</v>
      </c>
      <c r="BV42" s="1114">
        <f t="shared" ca="1" si="25"/>
        <v>11334.501330798477</v>
      </c>
    </row>
    <row r="43" spans="3:74">
      <c r="O43" s="762" t="s">
        <v>1165</v>
      </c>
      <c r="P43" s="1032">
        <f>P61/15</f>
        <v>1</v>
      </c>
      <c r="S43" s="495"/>
      <c r="T43" s="489">
        <v>34</v>
      </c>
      <c r="U43" s="530">
        <f>ROUND('Deterministic Output VicSup'!A36+'Deterministic Output VicSup'!B36+'Deterministic Output VicSup'!C36+'Deterministic Output VicSup'!D36+'Deterministic Output VicSup'!E36+'Deterministic Output VicSup'!F36+'Deterministic Output VicSup'!G36,0)</f>
        <v>34075</v>
      </c>
      <c r="V43" s="530">
        <f>'Deterministic Output VicSup'!P36</f>
        <v>2879.7581707663117</v>
      </c>
      <c r="W43" s="530">
        <f>'Deterministic Output VicSup'!AB36</f>
        <v>0</v>
      </c>
      <c r="X43" s="530">
        <f>MROUND('Deterministic Output VicSup'!AA36,5)</f>
        <v>2880</v>
      </c>
      <c r="Y43" s="531">
        <f>U43*((1+Settings!$J$63)^33)</f>
        <v>76970.343095973483</v>
      </c>
      <c r="Z43" s="531">
        <f>V43*((1+Settings!$J$63)^33)</f>
        <v>6504.9442241325314</v>
      </c>
      <c r="AA43" s="531">
        <f>W43*((1+Settings!$J$63)^33)</f>
        <v>0</v>
      </c>
      <c r="AB43" s="531">
        <f>X43*((1+Settings!$J$63)^33)</f>
        <v>6505.4904803053159</v>
      </c>
      <c r="AD43" s="489">
        <v>34</v>
      </c>
      <c r="AE43" s="1190">
        <f>ROUND('Deterministic Output'!A36+'Deterministic Output'!B36+'Deterministic Output'!C36+'Deterministic Output'!D36+'Deterministic Output'!E36+'Deterministic Output'!F36+'Deterministic Output'!G36,0)</f>
        <v>37949</v>
      </c>
      <c r="AF43" s="530">
        <f>'Deterministic Output'!P36</f>
        <v>2879.7581707663117</v>
      </c>
      <c r="AG43" s="530">
        <f>'Deterministic Output'!AB36</f>
        <v>0</v>
      </c>
      <c r="AH43" s="530">
        <f>MROUND('Deterministic Output'!AA36,5)</f>
        <v>2880</v>
      </c>
      <c r="AI43" s="531">
        <f>AE43*((1+Settings!$J$63)^33)</f>
        <v>85721.13133232863</v>
      </c>
      <c r="AJ43" s="531">
        <f>AF43*((1+Settings!$J$63)^33)</f>
        <v>6504.9442241325314</v>
      </c>
      <c r="AK43" s="531">
        <f>AG43*((1+Settings!$J$63)^33)</f>
        <v>0</v>
      </c>
      <c r="AL43" s="531">
        <f>AH43*((1+Settings!$J$63)^33)</f>
        <v>6505.4904803053159</v>
      </c>
      <c r="AN43" s="530">
        <f>'Deterministic Output'!A36-'Deterministic Output VicSup'!A36</f>
        <v>0</v>
      </c>
      <c r="AO43" s="531">
        <f>AN43*((1+Settings!$J$63)^33)</f>
        <v>0</v>
      </c>
      <c r="BM43" s="489"/>
      <c r="BN43" s="489"/>
      <c r="BO43" s="489"/>
      <c r="BP43" s="489"/>
      <c r="BQ43" s="489"/>
      <c r="BR43" s="489"/>
      <c r="BS43" s="489"/>
      <c r="BT43" s="489"/>
      <c r="BU43" s="489"/>
      <c r="BV43" s="489"/>
    </row>
    <row r="44" spans="3:74">
      <c r="S44" s="495"/>
      <c r="T44" s="489">
        <v>35</v>
      </c>
      <c r="U44" s="530">
        <f>ROUND('Deterministic Output VicSup'!A37+'Deterministic Output VicSup'!B37+'Deterministic Output VicSup'!C37+'Deterministic Output VicSup'!D37+'Deterministic Output VicSup'!E37+'Deterministic Output VicSup'!F37+'Deterministic Output VicSup'!G37,0)</f>
        <v>34069</v>
      </c>
      <c r="V44" s="530">
        <f>'Deterministic Output VicSup'!P37</f>
        <v>2739.2821624362477</v>
      </c>
      <c r="W44" s="530">
        <f>'Deterministic Output VicSup'!AB37</f>
        <v>0</v>
      </c>
      <c r="X44" s="530">
        <f>MROUND('Deterministic Output VicSup'!AA37,5)</f>
        <v>2740</v>
      </c>
      <c r="Y44" s="531">
        <f>U44*((1+Settings!$J$63)^34)</f>
        <v>78880.709740576334</v>
      </c>
      <c r="Z44" s="531">
        <f>V44*((1+Settings!$J$63)^34)</f>
        <v>6342.3206185292183</v>
      </c>
      <c r="AA44" s="531">
        <f>W44*((1+Settings!$J$63)^34)</f>
        <v>0</v>
      </c>
      <c r="AB44" s="531">
        <f>X44*((1+Settings!$J$63)^34)</f>
        <v>6343.9826437282918</v>
      </c>
      <c r="AD44" s="489">
        <v>35</v>
      </c>
      <c r="AE44" s="1190">
        <f>ROUND('Deterministic Output'!A37+'Deterministic Output'!B37+'Deterministic Output'!C37+'Deterministic Output'!D37+'Deterministic Output'!E37+'Deterministic Output'!F37+'Deterministic Output'!G37,0)</f>
        <v>37848</v>
      </c>
      <c r="AF44" s="530">
        <f>'Deterministic Output'!P37</f>
        <v>2739.2821624362477</v>
      </c>
      <c r="AG44" s="530">
        <f>'Deterministic Output'!AB37</f>
        <v>0</v>
      </c>
      <c r="AH44" s="530">
        <f>MROUND('Deterministic Output'!AA37,5)</f>
        <v>2740</v>
      </c>
      <c r="AI44" s="531">
        <f>AE44*((1+Settings!$J$63)^34)</f>
        <v>87630.312080229342</v>
      </c>
      <c r="AJ44" s="531">
        <f>AF44*((1+Settings!$J$63)^34)</f>
        <v>6342.3206185292183</v>
      </c>
      <c r="AK44" s="531">
        <f>AG44*((1+Settings!$J$63)^34)</f>
        <v>0</v>
      </c>
      <c r="AL44" s="531">
        <f>AH44*((1+Settings!$J$63)^34)</f>
        <v>6343.9826437282918</v>
      </c>
      <c r="AN44" s="530">
        <f>'Deterministic Output'!A37-'Deterministic Output VicSup'!A37</f>
        <v>0</v>
      </c>
      <c r="AO44" s="531">
        <f>AN44*((1+Settings!$J$63)^34)</f>
        <v>0</v>
      </c>
    </row>
    <row r="45" spans="3:74">
      <c r="O45" s="1033" t="s">
        <v>1166</v>
      </c>
      <c r="P45" s="1033" t="s">
        <v>1167</v>
      </c>
      <c r="T45" s="489"/>
      <c r="U45" s="489"/>
    </row>
    <row r="46" spans="3:74">
      <c r="C46" s="685" t="s">
        <v>883</v>
      </c>
      <c r="D46" s="684"/>
      <c r="E46" s="684"/>
      <c r="G46" s="428" t="s">
        <v>701</v>
      </c>
      <c r="H46" s="79"/>
      <c r="I46" s="79"/>
      <c r="J46" s="79"/>
      <c r="O46" s="1033" t="s">
        <v>337</v>
      </c>
      <c r="P46" s="762">
        <f t="shared" ref="P46:P60" si="26">IF(AE10&gt;=APCRequiredIncome,1,0)</f>
        <v>1</v>
      </c>
      <c r="T46" s="489"/>
      <c r="U46" s="489"/>
    </row>
    <row r="47" spans="3:74">
      <c r="C47" s="8" t="s">
        <v>884</v>
      </c>
      <c r="D47" s="8" t="s">
        <v>0</v>
      </c>
      <c r="E47" s="8" t="s">
        <v>10</v>
      </c>
      <c r="G47" s="8" t="s">
        <v>699</v>
      </c>
      <c r="H47" s="8" t="s">
        <v>0</v>
      </c>
      <c r="I47" s="8" t="s">
        <v>10</v>
      </c>
      <c r="J47" s="8" t="s">
        <v>551</v>
      </c>
      <c r="O47" s="1033" t="s">
        <v>586</v>
      </c>
      <c r="P47" s="762">
        <f t="shared" si="26"/>
        <v>1</v>
      </c>
      <c r="T47" s="489"/>
      <c r="U47" s="489"/>
    </row>
    <row r="48" spans="3:74">
      <c r="C48" s="762">
        <v>0</v>
      </c>
      <c r="D48" s="762">
        <v>0</v>
      </c>
      <c r="E48" s="762">
        <v>0</v>
      </c>
      <c r="G48" s="8" t="s">
        <v>700</v>
      </c>
      <c r="H48" s="425">
        <v>42893</v>
      </c>
      <c r="I48" s="425">
        <v>58922</v>
      </c>
      <c r="J48" s="542">
        <f>IF(Relationship="Couple",'Age Pension additional calcs'!I48,'Age Pension additional calcs'!H48)</f>
        <v>58922</v>
      </c>
      <c r="O48" s="1033" t="s">
        <v>587</v>
      </c>
      <c r="P48" s="762">
        <f t="shared" si="26"/>
        <v>1</v>
      </c>
      <c r="T48" s="489"/>
      <c r="U48" s="489"/>
    </row>
    <row r="49" spans="3:21">
      <c r="C49" s="764">
        <v>300000</v>
      </c>
      <c r="D49" s="764">
        <v>30000</v>
      </c>
      <c r="E49" s="764">
        <v>45000</v>
      </c>
      <c r="O49" s="1033" t="s">
        <v>588</v>
      </c>
      <c r="P49" s="762">
        <f t="shared" si="26"/>
        <v>1</v>
      </c>
      <c r="T49" s="489"/>
      <c r="U49" s="489"/>
    </row>
    <row r="50" spans="3:21">
      <c r="C50" s="764">
        <v>500000</v>
      </c>
      <c r="D50" s="764">
        <v>35000</v>
      </c>
      <c r="E50" s="764">
        <v>52000</v>
      </c>
      <c r="O50" s="1033" t="s">
        <v>589</v>
      </c>
      <c r="P50" s="762">
        <f t="shared" si="26"/>
        <v>1</v>
      </c>
    </row>
    <row r="51" spans="3:21">
      <c r="C51" s="765">
        <v>750000</v>
      </c>
      <c r="D51" s="764">
        <f>H48</f>
        <v>42893</v>
      </c>
      <c r="E51" s="764">
        <f>I48</f>
        <v>58922</v>
      </c>
      <c r="O51" s="1033" t="s">
        <v>590</v>
      </c>
      <c r="P51" s="762">
        <f t="shared" si="26"/>
        <v>1</v>
      </c>
    </row>
    <row r="52" spans="3:21">
      <c r="C52" s="763" t="s">
        <v>551</v>
      </c>
      <c r="D52" s="764">
        <f>VLOOKUP('Admin Settings'!E25+'Admin Settings'!E26,C48:E51,2)</f>
        <v>30000</v>
      </c>
      <c r="E52" s="764">
        <f>VLOOKUP('Admin Settings'!E25+'Admin Settings'!E26,C48:E51,3)</f>
        <v>45000</v>
      </c>
      <c r="O52" s="1033" t="s">
        <v>591</v>
      </c>
      <c r="P52" s="762">
        <f t="shared" si="26"/>
        <v>1</v>
      </c>
    </row>
    <row r="53" spans="3:21">
      <c r="O53" s="1033" t="s">
        <v>592</v>
      </c>
      <c r="P53" s="762">
        <f t="shared" si="26"/>
        <v>1</v>
      </c>
    </row>
    <row r="54" spans="3:21">
      <c r="O54" s="1033" t="s">
        <v>593</v>
      </c>
      <c r="P54" s="762">
        <f t="shared" si="26"/>
        <v>1</v>
      </c>
    </row>
    <row r="55" spans="3:21">
      <c r="O55" s="1033" t="s">
        <v>594</v>
      </c>
      <c r="P55" s="762">
        <f t="shared" si="26"/>
        <v>1</v>
      </c>
    </row>
    <row r="56" spans="3:21">
      <c r="O56" s="1033" t="s">
        <v>595</v>
      </c>
      <c r="P56" s="762">
        <f t="shared" si="26"/>
        <v>1</v>
      </c>
    </row>
    <row r="57" spans="3:21">
      <c r="O57" s="1033" t="s">
        <v>596</v>
      </c>
      <c r="P57" s="762">
        <f t="shared" si="26"/>
        <v>1</v>
      </c>
    </row>
    <row r="58" spans="3:21">
      <c r="O58" s="1033" t="s">
        <v>597</v>
      </c>
      <c r="P58" s="762">
        <f t="shared" si="26"/>
        <v>1</v>
      </c>
    </row>
    <row r="59" spans="3:21">
      <c r="O59" s="1033" t="s">
        <v>598</v>
      </c>
      <c r="P59" s="762">
        <f t="shared" si="26"/>
        <v>1</v>
      </c>
    </row>
    <row r="60" spans="3:21">
      <c r="O60" s="1033" t="s">
        <v>599</v>
      </c>
      <c r="P60" s="762">
        <f t="shared" si="26"/>
        <v>1</v>
      </c>
    </row>
    <row r="61" spans="3:21">
      <c r="O61" s="1033" t="s">
        <v>79</v>
      </c>
      <c r="P61" s="1033">
        <f>SUM(P46:P60)</f>
        <v>15</v>
      </c>
    </row>
    <row r="65" spans="2:20">
      <c r="B65" s="40"/>
      <c r="C65" s="40"/>
      <c r="D65" s="40"/>
      <c r="E65" s="40"/>
      <c r="F65" s="40"/>
      <c r="G65" s="40"/>
      <c r="H65" s="40"/>
      <c r="I65" s="40"/>
      <c r="J65" s="40"/>
      <c r="K65" s="40"/>
      <c r="L65" s="40"/>
      <c r="M65" s="40"/>
    </row>
    <row r="66" spans="2:20">
      <c r="B66" s="40"/>
      <c r="C66" s="40"/>
      <c r="D66" s="40"/>
      <c r="E66" s="40"/>
      <c r="F66" s="40"/>
      <c r="G66" s="40"/>
      <c r="H66" s="40"/>
      <c r="I66" s="40"/>
      <c r="J66" s="40"/>
      <c r="K66" s="40"/>
      <c r="L66" s="40"/>
      <c r="M66" s="40"/>
      <c r="N66" s="489"/>
    </row>
    <row r="67" spans="2:20">
      <c r="B67" s="40"/>
      <c r="C67" s="40"/>
      <c r="D67" s="40"/>
      <c r="E67" s="1099"/>
      <c r="F67" s="1100"/>
      <c r="G67" s="1100"/>
      <c r="H67" s="40"/>
      <c r="I67" s="1100"/>
      <c r="J67" s="1100"/>
      <c r="K67" s="1100"/>
      <c r="L67" s="40"/>
      <c r="M67" s="40"/>
      <c r="N67" s="489"/>
      <c r="O67" s="489"/>
    </row>
    <row r="68" spans="2:20">
      <c r="B68" s="40"/>
      <c r="C68" s="40"/>
      <c r="D68" s="40"/>
      <c r="E68" s="40"/>
      <c r="F68" s="40"/>
      <c r="G68" s="40"/>
      <c r="H68" s="40"/>
      <c r="I68" s="1101"/>
      <c r="J68" s="1101"/>
      <c r="K68" s="40"/>
      <c r="L68" s="40"/>
      <c r="M68" s="40"/>
      <c r="N68" s="489"/>
      <c r="O68" s="489"/>
    </row>
    <row r="69" spans="2:20">
      <c r="B69" s="40"/>
      <c r="C69" s="40"/>
      <c r="D69" s="40"/>
      <c r="E69" s="40"/>
      <c r="F69" s="40"/>
      <c r="G69" s="40"/>
      <c r="H69" s="40"/>
      <c r="I69" s="40"/>
      <c r="J69" s="40"/>
      <c r="K69" s="40"/>
      <c r="L69" s="40"/>
      <c r="M69" s="40"/>
      <c r="N69" s="489"/>
      <c r="O69" s="489"/>
    </row>
    <row r="70" spans="2:20">
      <c r="B70" s="40"/>
      <c r="C70" s="40"/>
      <c r="D70" s="40"/>
      <c r="E70" s="40"/>
      <c r="F70" s="40"/>
      <c r="G70" s="40"/>
      <c r="H70" s="40"/>
      <c r="I70" s="40"/>
      <c r="J70" s="40"/>
      <c r="K70" s="40"/>
      <c r="L70" s="40"/>
      <c r="M70" s="40"/>
      <c r="N70" s="489"/>
      <c r="O70" s="489"/>
    </row>
    <row r="71" spans="2:20">
      <c r="B71" s="40"/>
      <c r="C71" s="40"/>
      <c r="D71" s="40"/>
      <c r="E71" s="40"/>
      <c r="F71" s="40"/>
      <c r="G71" s="40"/>
      <c r="H71" s="40"/>
      <c r="I71" s="40"/>
      <c r="J71" s="40"/>
      <c r="K71" s="40"/>
      <c r="L71" s="40"/>
      <c r="M71" s="40"/>
      <c r="N71" s="489"/>
      <c r="O71" s="489"/>
      <c r="T71" s="489"/>
    </row>
    <row r="72" spans="2:20">
      <c r="B72" s="40"/>
      <c r="C72" s="40"/>
      <c r="D72" s="40"/>
      <c r="E72" s="1099"/>
      <c r="F72" s="1100"/>
      <c r="G72" s="1100"/>
      <c r="H72" s="40"/>
      <c r="I72" s="1100"/>
      <c r="J72" s="1100"/>
      <c r="K72" s="1100"/>
      <c r="L72" s="40"/>
      <c r="M72" s="40"/>
      <c r="N72" s="489"/>
      <c r="O72" s="489"/>
      <c r="T72" s="489"/>
    </row>
    <row r="73" spans="2:20">
      <c r="B73" s="40"/>
      <c r="C73" s="40"/>
      <c r="D73" s="40"/>
      <c r="E73" s="40"/>
      <c r="F73" s="40"/>
      <c r="G73" s="40"/>
      <c r="H73" s="40"/>
      <c r="I73" s="1101"/>
      <c r="J73" s="1101"/>
      <c r="K73" s="40"/>
      <c r="L73" s="40"/>
      <c r="M73" s="40"/>
      <c r="N73" s="489"/>
      <c r="O73" s="489"/>
      <c r="T73" s="489"/>
    </row>
    <row r="74" spans="2:20">
      <c r="B74" s="40"/>
      <c r="C74" s="40"/>
      <c r="D74" s="40"/>
      <c r="E74" s="40"/>
      <c r="F74" s="40"/>
      <c r="G74" s="40"/>
      <c r="H74" s="40"/>
      <c r="I74" s="40"/>
      <c r="J74" s="40"/>
      <c r="K74" s="40"/>
      <c r="L74" s="40"/>
      <c r="M74" s="40"/>
      <c r="N74" s="489"/>
      <c r="O74" s="489"/>
      <c r="T74" s="489"/>
    </row>
    <row r="75" spans="2:20">
      <c r="B75" s="40"/>
      <c r="C75" s="40"/>
      <c r="D75" s="40"/>
      <c r="E75" s="40"/>
      <c r="F75" s="40"/>
      <c r="G75" s="40"/>
      <c r="H75" s="40"/>
      <c r="I75" s="40"/>
      <c r="J75" s="40"/>
      <c r="K75" s="40"/>
      <c r="L75" s="40"/>
      <c r="M75" s="40"/>
      <c r="N75" s="489"/>
      <c r="O75" s="489"/>
      <c r="T75" s="489"/>
    </row>
    <row r="76" spans="2:20">
      <c r="B76" s="40"/>
      <c r="C76" s="40"/>
      <c r="D76" s="40"/>
      <c r="E76" s="40"/>
      <c r="F76" s="40"/>
      <c r="G76" s="40"/>
      <c r="H76" s="40"/>
      <c r="I76" s="40"/>
      <c r="J76" s="40"/>
      <c r="K76" s="40"/>
      <c r="L76" s="40"/>
      <c r="M76" s="40"/>
      <c r="N76" s="489"/>
      <c r="O76" s="489"/>
    </row>
    <row r="77" spans="2:20">
      <c r="B77" s="40"/>
      <c r="C77" s="40"/>
      <c r="D77" s="40"/>
      <c r="E77" s="40"/>
      <c r="F77" s="1102"/>
      <c r="G77" s="1103"/>
      <c r="H77" s="40"/>
      <c r="I77" s="1104"/>
      <c r="J77" s="1104"/>
      <c r="K77" s="40"/>
      <c r="L77" s="40"/>
      <c r="M77" s="40"/>
    </row>
    <row r="78" spans="2:20">
      <c r="B78" s="40"/>
      <c r="C78" s="40"/>
      <c r="D78" s="40"/>
      <c r="E78" s="40"/>
      <c r="F78" s="40"/>
      <c r="G78" s="40"/>
      <c r="H78" s="40"/>
      <c r="I78" s="40"/>
      <c r="J78" s="40"/>
      <c r="K78" s="40"/>
      <c r="L78" s="40"/>
      <c r="M78" s="40"/>
    </row>
    <row r="79" spans="2:20">
      <c r="B79" s="40"/>
      <c r="C79" s="40"/>
      <c r="D79" s="40"/>
      <c r="E79" s="40"/>
      <c r="F79" s="40"/>
      <c r="G79" s="40"/>
      <c r="H79" s="40"/>
      <c r="I79" s="40"/>
      <c r="J79" s="40"/>
      <c r="K79" s="40"/>
      <c r="L79" s="40"/>
      <c r="M79" s="40"/>
    </row>
    <row r="80" spans="2:20">
      <c r="B80" s="40"/>
      <c r="C80" s="40"/>
      <c r="D80" s="40"/>
      <c r="E80" s="40"/>
      <c r="F80" s="40"/>
      <c r="G80" s="40"/>
      <c r="H80" s="40"/>
      <c r="I80" s="40"/>
      <c r="J80" s="40"/>
      <c r="K80" s="40"/>
      <c r="L80" s="40"/>
      <c r="M80" s="40"/>
    </row>
    <row r="81" spans="2:13">
      <c r="B81" s="40"/>
      <c r="C81" s="40"/>
      <c r="D81" s="40"/>
      <c r="E81" s="40"/>
      <c r="F81" s="40"/>
      <c r="G81" s="40"/>
      <c r="H81" s="40"/>
      <c r="I81" s="40"/>
      <c r="J81" s="40"/>
      <c r="K81" s="40"/>
      <c r="L81" s="40"/>
      <c r="M81" s="40"/>
    </row>
    <row r="82" spans="2:13">
      <c r="B82" s="40"/>
      <c r="C82" s="40"/>
      <c r="D82" s="40"/>
      <c r="E82" s="40"/>
      <c r="F82" s="40"/>
      <c r="G82" s="40"/>
      <c r="H82" s="40"/>
      <c r="I82" s="40"/>
      <c r="J82" s="40"/>
      <c r="K82" s="40"/>
      <c r="L82" s="40"/>
      <c r="M82" s="40"/>
    </row>
    <row r="83" spans="2:13">
      <c r="B83" s="40"/>
      <c r="C83" s="40"/>
      <c r="D83" s="40"/>
      <c r="E83" s="40"/>
      <c r="F83" s="40"/>
      <c r="G83" s="40"/>
      <c r="H83" s="40"/>
      <c r="I83" s="40"/>
      <c r="J83" s="40"/>
      <c r="K83" s="40"/>
      <c r="L83" s="40"/>
      <c r="M83" s="40"/>
    </row>
    <row r="84" spans="2:13">
      <c r="B84" s="40"/>
      <c r="C84" s="40"/>
      <c r="D84" s="40"/>
      <c r="E84" s="40"/>
      <c r="F84" s="40"/>
      <c r="G84" s="40"/>
      <c r="H84" s="40"/>
      <c r="I84" s="40"/>
      <c r="J84" s="40"/>
      <c r="K84" s="40"/>
      <c r="L84" s="1102"/>
      <c r="M84" s="40"/>
    </row>
    <row r="85" spans="2:13">
      <c r="B85" s="40"/>
      <c r="C85" s="40"/>
      <c r="D85" s="40"/>
      <c r="E85" s="40"/>
      <c r="F85" s="40"/>
      <c r="G85" s="40"/>
      <c r="H85" s="40"/>
      <c r="I85" s="40"/>
      <c r="J85" s="40"/>
      <c r="K85" s="40"/>
      <c r="L85" s="1102"/>
      <c r="M85" s="40"/>
    </row>
    <row r="86" spans="2:13">
      <c r="B86" s="40"/>
      <c r="C86" s="40"/>
      <c r="D86" s="40"/>
      <c r="E86" s="40"/>
      <c r="F86" s="40"/>
      <c r="G86" s="40"/>
      <c r="H86" s="40"/>
      <c r="I86" s="40"/>
      <c r="J86" s="40"/>
      <c r="K86" s="40"/>
      <c r="L86" s="40"/>
      <c r="M86" s="40"/>
    </row>
  </sheetData>
  <mergeCells count="21">
    <mergeCell ref="J33:L35"/>
    <mergeCell ref="AA7:AA9"/>
    <mergeCell ref="AB7:AB9"/>
    <mergeCell ref="Y6:AB6"/>
    <mergeCell ref="AE6:AH6"/>
    <mergeCell ref="U6:X6"/>
    <mergeCell ref="U7:U9"/>
    <mergeCell ref="V7:V9"/>
    <mergeCell ref="Y7:Y9"/>
    <mergeCell ref="Z7:Z9"/>
    <mergeCell ref="W7:W9"/>
    <mergeCell ref="X7:X9"/>
    <mergeCell ref="AI6:AL6"/>
    <mergeCell ref="AE7:AE9"/>
    <mergeCell ref="AF7:AF9"/>
    <mergeCell ref="AG7:AG9"/>
    <mergeCell ref="AH7:AH9"/>
    <mergeCell ref="AI7:AI9"/>
    <mergeCell ref="AJ7:AJ9"/>
    <mergeCell ref="AK7:AK9"/>
    <mergeCell ref="AL7:AL9"/>
  </mergeCells>
  <dataValidations count="1">
    <dataValidation type="list" allowBlank="1" showInputMessage="1" showErrorMessage="1" sqref="I34">
      <formula1>"Deterministic Output, Deterministic Output VicSup"</formula1>
    </dataValidation>
  </dataValidations>
  <pageMargins left="0.7" right="0.7" top="0.75" bottom="0.75" header="0.3" footer="0.3"/>
  <pageSetup paperSize="9" orientation="portrait"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2:J63"/>
  <sheetViews>
    <sheetView showRowColHeaders="0" zoomScaleNormal="100" workbookViewId="0">
      <selection activeCell="H6" sqref="H6"/>
    </sheetView>
    <sheetView workbookViewId="1"/>
  </sheetViews>
  <sheetFormatPr defaultRowHeight="15"/>
  <cols>
    <col min="1" max="1" width="3.5" style="498" customWidth="1"/>
    <col min="2" max="2" width="2.25" style="498" customWidth="1"/>
    <col min="3" max="3" width="86.875" style="498" customWidth="1"/>
    <col min="4" max="16384" width="9" style="498"/>
  </cols>
  <sheetData>
    <row r="2" spans="1:10" ht="29.25" thickBot="1">
      <c r="C2" s="511" t="s">
        <v>570</v>
      </c>
      <c r="D2" s="1124"/>
      <c r="E2" s="1124"/>
      <c r="F2" s="1124"/>
      <c r="G2" s="1124"/>
      <c r="H2" s="1124"/>
      <c r="I2" s="1124"/>
      <c r="J2" s="1124"/>
    </row>
    <row r="4" spans="1:10" ht="21">
      <c r="C4" s="1145" t="s">
        <v>1186</v>
      </c>
    </row>
    <row r="5" spans="1:10" ht="37.5" customHeight="1">
      <c r="C5" s="514"/>
    </row>
    <row r="6" spans="1:10" ht="69" customHeight="1">
      <c r="C6" s="976"/>
    </row>
    <row r="7" spans="1:10" ht="54" customHeight="1">
      <c r="C7" s="976"/>
    </row>
    <row r="8" spans="1:10" ht="39.75" customHeight="1">
      <c r="C8" s="976"/>
    </row>
    <row r="9" spans="1:10">
      <c r="C9" s="498" t="s">
        <v>422</v>
      </c>
    </row>
    <row r="10" spans="1:10" ht="15.75">
      <c r="C10" s="512"/>
    </row>
    <row r="11" spans="1:10" ht="38.25" customHeight="1">
      <c r="C11" s="514"/>
    </row>
    <row r="12" spans="1:10" ht="34.5" customHeight="1">
      <c r="C12" s="506"/>
    </row>
    <row r="13" spans="1:10" ht="71.25" customHeight="1"/>
    <row r="14" spans="1:10" ht="72.75" customHeight="1">
      <c r="A14" s="1095"/>
    </row>
    <row r="15" spans="1:10">
      <c r="C15" s="506"/>
    </row>
    <row r="33" ht="30.75" customHeight="1"/>
    <row r="63" spans="3:9" ht="18.75">
      <c r="C63" s="1407" t="s">
        <v>601</v>
      </c>
      <c r="D63" s="1407"/>
      <c r="E63" s="1407"/>
      <c r="F63" s="1407"/>
      <c r="G63" s="1407"/>
      <c r="H63" s="1407"/>
      <c r="I63" s="1407"/>
    </row>
  </sheetData>
  <sheetProtection password="FBCA" sheet="1" objects="1" scenarios="1"/>
  <mergeCells count="1">
    <mergeCell ref="C63:I63"/>
  </mergeCells>
  <conditionalFormatting sqref="C4">
    <cfRule type="expression" dxfId="37" priority="13" stopIfTrue="1">
      <formula>#REF!=3</formula>
    </cfRule>
    <cfRule type="expression" dxfId="36" priority="14" stopIfTrue="1">
      <formula>#REF!=5</formula>
    </cfRule>
    <cfRule type="expression" dxfId="35" priority="15" stopIfTrue="1">
      <formula>#REF!=4</formula>
    </cfRule>
  </conditionalFormatting>
  <conditionalFormatting sqref="C5">
    <cfRule type="expression" dxfId="34" priority="10" stopIfTrue="1">
      <formula>#REF!=3</formula>
    </cfRule>
    <cfRule type="expression" dxfId="33" priority="11" stopIfTrue="1">
      <formula>#REF!=5</formula>
    </cfRule>
    <cfRule type="expression" dxfId="32" priority="12" stopIfTrue="1">
      <formula>#REF!=4</formula>
    </cfRule>
  </conditionalFormatting>
  <conditionalFormatting sqref="C10">
    <cfRule type="expression" dxfId="31" priority="7" stopIfTrue="1">
      <formula>#REF!=3</formula>
    </cfRule>
    <cfRule type="expression" dxfId="30" priority="8" stopIfTrue="1">
      <formula>#REF!=5</formula>
    </cfRule>
    <cfRule type="expression" dxfId="29" priority="9" stopIfTrue="1">
      <formula>#REF!=4</formula>
    </cfRule>
  </conditionalFormatting>
  <conditionalFormatting sqref="C11">
    <cfRule type="expression" dxfId="28" priority="4" stopIfTrue="1">
      <formula>#REF!=3</formula>
    </cfRule>
    <cfRule type="expression" dxfId="27" priority="5" stopIfTrue="1">
      <formula>#REF!=5</formula>
    </cfRule>
    <cfRule type="expression" dxfId="26" priority="6" stopIfTrue="1">
      <formula>#REF!=4</formula>
    </cfRule>
  </conditionalFormatting>
  <conditionalFormatting sqref="C63">
    <cfRule type="expression" dxfId="25" priority="1" stopIfTrue="1">
      <formula>#REF!=3</formula>
    </cfRule>
    <cfRule type="expression" dxfId="24" priority="2" stopIfTrue="1">
      <formula>#REF!=5</formula>
    </cfRule>
    <cfRule type="expression" dxfId="23" priority="3" stopIfTrue="1">
      <formula>#REF!=4</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3"/>
  </sheetPr>
  <dimension ref="C1:CW1142"/>
  <sheetViews>
    <sheetView topLeftCell="A217" zoomScaleNormal="100" workbookViewId="0">
      <selection activeCell="BM27" sqref="BM27"/>
    </sheetView>
    <sheetView workbookViewId="1"/>
  </sheetViews>
  <sheetFormatPr defaultRowHeight="15"/>
  <cols>
    <col min="1" max="50" width="2.5" style="688" customWidth="1"/>
    <col min="51" max="51" width="5.375" style="688" customWidth="1"/>
    <col min="52" max="52" width="1.875" style="688" customWidth="1"/>
    <col min="53" max="139" width="2.5" style="688" customWidth="1"/>
    <col min="140" max="16384" width="9" style="688"/>
  </cols>
  <sheetData>
    <row r="1" spans="3:63" s="689" customFormat="1" ht="5.25" customHeight="1">
      <c r="AL1" s="1143"/>
      <c r="AM1" s="1143"/>
      <c r="AN1" s="1143"/>
      <c r="AO1" s="1143"/>
      <c r="AP1" s="1143"/>
      <c r="AQ1" s="1143"/>
      <c r="AR1" s="1143"/>
      <c r="AS1" s="1143"/>
      <c r="AT1" s="1143"/>
      <c r="AU1" s="1143"/>
      <c r="AV1" s="1143"/>
      <c r="AW1" s="1143"/>
      <c r="AX1" s="1143"/>
      <c r="AY1" s="1143"/>
      <c r="AZ1" s="1143"/>
      <c r="BA1" s="1143"/>
      <c r="BB1" s="1143"/>
    </row>
    <row r="2" spans="3:63" s="689" customFormat="1" ht="6.75" customHeight="1">
      <c r="AE2" s="1524" t="s">
        <v>1189</v>
      </c>
      <c r="AF2" s="1524"/>
      <c r="AG2" s="1524"/>
      <c r="AH2" s="1524"/>
      <c r="AI2" s="1524"/>
      <c r="AJ2" s="1524"/>
      <c r="AK2" s="1143"/>
      <c r="AL2" s="1143"/>
      <c r="AM2" s="1143"/>
      <c r="AN2" s="1143"/>
      <c r="AO2" s="1143"/>
      <c r="AP2" s="1143"/>
      <c r="AQ2" s="1143"/>
      <c r="AR2" s="1143"/>
      <c r="AS2" s="1143"/>
      <c r="AT2" s="1143"/>
      <c r="AU2" s="1143"/>
      <c r="AV2" s="1143"/>
      <c r="AW2" s="1143"/>
      <c r="AX2" s="1143"/>
      <c r="AY2" s="1143"/>
      <c r="AZ2" s="1143"/>
      <c r="BA2" s="1143"/>
      <c r="BB2" s="1143"/>
    </row>
    <row r="3" spans="3:63" s="689" customFormat="1" ht="18.75" customHeight="1">
      <c r="AE3" s="1524"/>
      <c r="AF3" s="1524"/>
      <c r="AG3" s="1524"/>
      <c r="AH3" s="1524"/>
      <c r="AI3" s="1524"/>
      <c r="AJ3" s="1524"/>
      <c r="AL3" s="1144"/>
      <c r="AM3" s="1144"/>
      <c r="AN3" s="1144"/>
      <c r="AO3" s="1144"/>
      <c r="AP3" s="1144"/>
      <c r="AQ3" s="1144"/>
      <c r="AR3" s="1144"/>
      <c r="AS3" s="1144"/>
      <c r="AT3" s="1144"/>
      <c r="AU3" s="1144"/>
      <c r="AV3" s="1144"/>
      <c r="AW3" s="1144"/>
      <c r="AX3" s="1144"/>
      <c r="AY3" s="1144"/>
      <c r="AZ3" s="1144"/>
      <c r="BA3" s="1144"/>
      <c r="BB3" s="1144"/>
      <c r="BC3" s="1144"/>
      <c r="BD3" s="1144"/>
      <c r="BE3" s="1144"/>
      <c r="BF3" s="1144"/>
      <c r="BG3" s="1144"/>
      <c r="BH3" s="1144"/>
      <c r="BI3" s="1144"/>
      <c r="BJ3" s="1144"/>
      <c r="BK3" s="1144"/>
    </row>
    <row r="4" spans="3:63" s="689" customFormat="1" ht="18.75" customHeight="1">
      <c r="G4" s="702"/>
      <c r="H4" s="702"/>
      <c r="I4" s="702"/>
      <c r="J4" s="702"/>
      <c r="K4" s="758" t="s">
        <v>1215</v>
      </c>
      <c r="L4" s="1424"/>
      <c r="M4" s="1425"/>
      <c r="N4" s="1425"/>
      <c r="O4" s="1425"/>
      <c r="P4" s="1425"/>
      <c r="Q4" s="1425"/>
      <c r="R4" s="1425"/>
      <c r="S4" s="1425"/>
      <c r="T4" s="1425"/>
      <c r="U4" s="1425"/>
      <c r="V4" s="1425"/>
      <c r="W4" s="1425"/>
      <c r="X4" s="1425"/>
      <c r="Y4" s="1425"/>
      <c r="Z4" s="1425"/>
      <c r="AA4" s="1426"/>
      <c r="AE4" s="1525" t="s">
        <v>1188</v>
      </c>
      <c r="AF4" s="1525"/>
      <c r="AG4" s="1525"/>
      <c r="AH4" s="1525"/>
      <c r="AI4" s="1525"/>
      <c r="AJ4" s="1525"/>
      <c r="AK4" s="1525"/>
      <c r="AL4" s="1525"/>
      <c r="AM4" s="1525"/>
      <c r="AN4" s="1525"/>
      <c r="AO4" s="1525"/>
      <c r="AP4" s="1525"/>
      <c r="AQ4" s="1525"/>
      <c r="AR4" s="1525"/>
      <c r="AS4" s="1525"/>
      <c r="AT4" s="1525"/>
      <c r="AU4" s="1525"/>
      <c r="AV4" s="1525"/>
      <c r="AW4" s="1525"/>
      <c r="AX4" s="1525"/>
      <c r="AY4" s="1525"/>
      <c r="AZ4" s="1525"/>
      <c r="BA4" s="1525"/>
      <c r="BB4" s="1525"/>
      <c r="BC4" s="1525"/>
      <c r="BD4" s="1525"/>
      <c r="BE4" s="1525"/>
      <c r="BF4" s="1525"/>
      <c r="BG4" s="1144"/>
      <c r="BH4" s="1144"/>
      <c r="BI4" s="1144"/>
      <c r="BJ4" s="1144"/>
      <c r="BK4" s="1144"/>
    </row>
    <row r="5" spans="3:63" s="689" customFormat="1" ht="15" customHeight="1">
      <c r="AA5" s="691"/>
      <c r="AE5" s="1525"/>
      <c r="AF5" s="1525"/>
      <c r="AG5" s="1525"/>
      <c r="AH5" s="1525"/>
      <c r="AI5" s="1525"/>
      <c r="AJ5" s="1525"/>
      <c r="AK5" s="1525"/>
      <c r="AL5" s="1525"/>
      <c r="AM5" s="1525"/>
      <c r="AN5" s="1525"/>
      <c r="AO5" s="1525"/>
      <c r="AP5" s="1525"/>
      <c r="AQ5" s="1525"/>
      <c r="AR5" s="1525"/>
      <c r="AS5" s="1525"/>
      <c r="AT5" s="1525"/>
      <c r="AU5" s="1525"/>
      <c r="AV5" s="1525"/>
      <c r="AW5" s="1525"/>
      <c r="AX5" s="1525"/>
      <c r="AY5" s="1525"/>
      <c r="AZ5" s="1525"/>
      <c r="BA5" s="1525"/>
      <c r="BB5" s="1525"/>
      <c r="BC5" s="1525"/>
      <c r="BD5" s="1525"/>
      <c r="BE5" s="1525"/>
      <c r="BF5" s="1525"/>
      <c r="BG5" s="1144"/>
      <c r="BH5" s="1144"/>
      <c r="BI5" s="1144"/>
      <c r="BJ5" s="1144"/>
      <c r="BK5" s="1144"/>
    </row>
    <row r="6" spans="3:63" s="689" customFormat="1" ht="18.75" customHeight="1">
      <c r="K6" s="758" t="s">
        <v>1147</v>
      </c>
      <c r="L6" s="1424"/>
      <c r="M6" s="1425"/>
      <c r="N6" s="1425"/>
      <c r="O6" s="1425"/>
      <c r="P6" s="1425"/>
      <c r="Q6" s="1425"/>
      <c r="R6" s="1425"/>
      <c r="S6" s="1425"/>
      <c r="T6" s="1425"/>
      <c r="U6" s="1425"/>
      <c r="V6" s="1425"/>
      <c r="W6" s="1425"/>
      <c r="X6" s="1425"/>
      <c r="Y6" s="1425"/>
      <c r="Z6" s="1425"/>
      <c r="AA6" s="1426"/>
      <c r="AE6" s="1525"/>
      <c r="AF6" s="1525"/>
      <c r="AG6" s="1525"/>
      <c r="AH6" s="1525"/>
      <c r="AI6" s="1525"/>
      <c r="AJ6" s="1525"/>
      <c r="AK6" s="1525"/>
      <c r="AL6" s="1525"/>
      <c r="AM6" s="1525"/>
      <c r="AN6" s="1525"/>
      <c r="AO6" s="1525"/>
      <c r="AP6" s="1525"/>
      <c r="AQ6" s="1525"/>
      <c r="AR6" s="1525"/>
      <c r="AS6" s="1525"/>
      <c r="AT6" s="1525"/>
      <c r="AU6" s="1525"/>
      <c r="AV6" s="1525"/>
      <c r="AW6" s="1525"/>
      <c r="AX6" s="1525"/>
      <c r="AY6" s="1525"/>
      <c r="AZ6" s="1525"/>
      <c r="BA6" s="1525"/>
      <c r="BB6" s="1525"/>
      <c r="BC6" s="1525"/>
      <c r="BD6" s="1525"/>
      <c r="BE6" s="1525"/>
      <c r="BF6" s="1525"/>
      <c r="BG6" s="1144"/>
      <c r="BH6" s="1144"/>
      <c r="BI6" s="1144"/>
      <c r="BJ6" s="1144"/>
      <c r="BK6" s="1144"/>
    </row>
    <row r="7" spans="3:63" s="689" customFormat="1" ht="22.5" customHeight="1">
      <c r="Z7" s="691"/>
      <c r="AA7" s="691"/>
      <c r="AE7" s="1525"/>
      <c r="AF7" s="1525"/>
      <c r="AG7" s="1525"/>
      <c r="AH7" s="1525"/>
      <c r="AI7" s="1525"/>
      <c r="AJ7" s="1525"/>
      <c r="AK7" s="1525"/>
      <c r="AL7" s="1525"/>
      <c r="AM7" s="1525"/>
      <c r="AN7" s="1525"/>
      <c r="AO7" s="1525"/>
      <c r="AP7" s="1525"/>
      <c r="AQ7" s="1525"/>
      <c r="AR7" s="1525"/>
      <c r="AS7" s="1525"/>
      <c r="AT7" s="1525"/>
      <c r="AU7" s="1525"/>
      <c r="AV7" s="1525"/>
      <c r="AW7" s="1525"/>
      <c r="AX7" s="1525"/>
      <c r="AY7" s="1525"/>
      <c r="AZ7" s="1525"/>
      <c r="BA7" s="1525"/>
      <c r="BB7" s="1525"/>
      <c r="BC7" s="1525"/>
      <c r="BD7" s="1525"/>
      <c r="BE7" s="1525"/>
      <c r="BF7" s="1525"/>
      <c r="BG7" s="1144"/>
      <c r="BH7" s="1144"/>
      <c r="BI7" s="1144"/>
      <c r="BJ7" s="1144"/>
      <c r="BK7" s="1144"/>
    </row>
    <row r="8" spans="3:63" ht="15" customHeight="1">
      <c r="Z8" s="692"/>
      <c r="AA8" s="692"/>
    </row>
    <row r="9" spans="3:63" ht="26.25">
      <c r="C9" s="693" t="s">
        <v>570</v>
      </c>
      <c r="Z9" s="692"/>
      <c r="AA9" s="692"/>
    </row>
    <row r="10" spans="3:63" ht="15" customHeight="1">
      <c r="Z10" s="692"/>
      <c r="AA10" s="692"/>
    </row>
    <row r="11" spans="3:63" ht="22.5" customHeight="1">
      <c r="C11" s="694" t="str">
        <f>IF(OR(APCClientName="",APCAdviserName=""),"","Prepared for "&amp;$L$4&amp;"")</f>
        <v/>
      </c>
      <c r="D11" s="695"/>
      <c r="E11" s="695"/>
      <c r="F11" s="695"/>
      <c r="G11" s="695"/>
      <c r="H11" s="695"/>
      <c r="I11" s="695"/>
      <c r="J11" s="695"/>
      <c r="K11" s="695"/>
      <c r="L11" s="695"/>
      <c r="M11" s="695"/>
      <c r="N11" s="695"/>
      <c r="O11" s="695"/>
      <c r="P11" s="695"/>
      <c r="Q11" s="695"/>
      <c r="R11" s="695"/>
      <c r="S11" s="695"/>
      <c r="T11" s="695"/>
      <c r="U11" s="695"/>
      <c r="V11" s="695"/>
      <c r="W11" s="695"/>
      <c r="X11" s="695"/>
      <c r="Y11" s="695"/>
      <c r="Z11" s="696"/>
      <c r="AA11" s="696"/>
      <c r="AB11" s="695"/>
      <c r="AC11" s="695"/>
      <c r="AD11" s="695"/>
      <c r="AE11" s="695"/>
      <c r="AF11" s="695"/>
      <c r="AG11" s="695"/>
      <c r="AH11" s="1526">
        <f ca="1">TODAY()</f>
        <v>42696</v>
      </c>
      <c r="AI11" s="1526"/>
      <c r="AJ11" s="1526"/>
      <c r="AK11" s="1526"/>
      <c r="AL11" s="1526"/>
      <c r="AM11" s="1526"/>
      <c r="AN11" s="1526"/>
      <c r="AO11" s="1526"/>
      <c r="AP11" s="1526"/>
      <c r="AQ11" s="1526"/>
      <c r="AR11" s="1526"/>
      <c r="AS11" s="1526"/>
      <c r="AT11" s="1526"/>
      <c r="AU11" s="1526"/>
      <c r="AV11" s="1526"/>
      <c r="AW11" s="1526"/>
      <c r="AX11" s="1526"/>
      <c r="AY11" s="1526"/>
      <c r="AZ11" s="1526"/>
    </row>
    <row r="12" spans="3:63" ht="15" customHeight="1">
      <c r="Z12" s="692"/>
      <c r="AA12" s="692"/>
    </row>
    <row r="13" spans="3:63" ht="15" customHeight="1">
      <c r="Z13" s="692"/>
      <c r="AA13" s="692"/>
    </row>
    <row r="14" spans="3:63" ht="15" customHeight="1">
      <c r="Z14" s="692"/>
      <c r="AA14" s="692"/>
      <c r="AC14" s="1412" t="s">
        <v>656</v>
      </c>
      <c r="AD14" s="1412"/>
      <c r="AE14" s="1412"/>
      <c r="AF14" s="1412"/>
      <c r="AG14" s="1412"/>
      <c r="AH14" s="1412"/>
      <c r="AI14" s="1412"/>
      <c r="AJ14" s="1412"/>
      <c r="AK14" s="1412"/>
      <c r="AL14" s="1412"/>
      <c r="AM14" s="1412"/>
      <c r="AN14" s="1412"/>
      <c r="AO14" s="1412"/>
      <c r="AP14" s="1412"/>
      <c r="AQ14" s="1412"/>
      <c r="AR14" s="1412"/>
      <c r="AS14" s="1412"/>
      <c r="AT14" s="1412"/>
      <c r="AU14" s="1412"/>
      <c r="AV14" s="1412"/>
      <c r="AW14" s="1412"/>
      <c r="AX14" s="1412"/>
      <c r="AY14" s="1412"/>
      <c r="AZ14" s="1413"/>
    </row>
    <row r="15" spans="3:63" ht="15" customHeight="1">
      <c r="Z15" s="692"/>
      <c r="AA15" s="692"/>
      <c r="AC15" s="1415" t="s">
        <v>94</v>
      </c>
      <c r="AD15" s="1415"/>
      <c r="AE15" s="1415"/>
      <c r="AF15" s="1415"/>
      <c r="AG15" s="1415"/>
      <c r="AH15" s="1415"/>
      <c r="AI15" s="1415"/>
      <c r="AJ15" s="701"/>
      <c r="AK15" s="701"/>
      <c r="AL15" s="701"/>
      <c r="AM15" s="1433">
        <f>'Age Pension Calculator'!T33</f>
        <v>0.6</v>
      </c>
      <c r="AN15" s="1433"/>
      <c r="AO15" s="1433"/>
      <c r="AP15" s="1433"/>
      <c r="AQ15" s="1433"/>
      <c r="AR15" s="701"/>
      <c r="AS15" s="701"/>
      <c r="AT15" s="701"/>
      <c r="AU15" s="701"/>
      <c r="AV15" s="701"/>
      <c r="AW15" s="701"/>
      <c r="AX15" s="701"/>
      <c r="AY15" s="701"/>
      <c r="AZ15" s="701"/>
    </row>
    <row r="16" spans="3:63" ht="15" customHeight="1">
      <c r="Z16" s="692"/>
      <c r="AA16" s="692"/>
      <c r="AC16" s="1422" t="s">
        <v>93</v>
      </c>
      <c r="AD16" s="1422"/>
      <c r="AE16" s="1422"/>
      <c r="AF16" s="1422"/>
      <c r="AG16" s="1422"/>
      <c r="AH16" s="1422"/>
      <c r="AI16" s="1422"/>
      <c r="AJ16" s="701"/>
      <c r="AK16" s="701"/>
      <c r="AL16" s="701"/>
      <c r="AM16" s="1433">
        <f>'Age Pension Calculator'!X33</f>
        <v>0.4</v>
      </c>
      <c r="AN16" s="1433"/>
      <c r="AO16" s="1433"/>
      <c r="AP16" s="1433"/>
      <c r="AQ16" s="1433"/>
      <c r="AR16" s="701"/>
      <c r="AS16" s="701"/>
      <c r="AT16" s="701"/>
      <c r="AU16" s="701"/>
      <c r="AV16" s="701"/>
      <c r="AW16" s="701"/>
      <c r="AX16" s="701"/>
      <c r="AY16" s="701"/>
      <c r="AZ16" s="701"/>
    </row>
    <row r="17" spans="3:52" ht="15" customHeight="1">
      <c r="Z17" s="692"/>
      <c r="AA17" s="692"/>
    </row>
    <row r="18" spans="3:52" ht="15" customHeight="1">
      <c r="Z18" s="692"/>
      <c r="AA18" s="692"/>
      <c r="AC18" s="1412" t="s">
        <v>888</v>
      </c>
      <c r="AD18" s="1412"/>
      <c r="AE18" s="1412"/>
      <c r="AF18" s="1412"/>
      <c r="AG18" s="1412"/>
      <c r="AH18" s="1412"/>
      <c r="AI18" s="1412"/>
      <c r="AJ18" s="1412"/>
      <c r="AK18" s="1412"/>
      <c r="AL18" s="1412"/>
      <c r="AM18" s="1412"/>
      <c r="AN18" s="1412"/>
      <c r="AO18" s="1412"/>
      <c r="AP18" s="1412"/>
      <c r="AQ18" s="1412"/>
      <c r="AR18" s="1412"/>
      <c r="AS18" s="1412"/>
      <c r="AT18" s="1412"/>
      <c r="AU18" s="1412"/>
      <c r="AV18" s="1412"/>
      <c r="AW18" s="1412"/>
      <c r="AX18" s="1412"/>
      <c r="AY18" s="1412"/>
      <c r="AZ18" s="1412"/>
    </row>
    <row r="19" spans="3:52" ht="15" customHeight="1">
      <c r="Z19" s="692"/>
      <c r="AA19" s="692"/>
      <c r="AC19" s="1415" t="s">
        <v>889</v>
      </c>
      <c r="AD19" s="1415"/>
      <c r="AE19" s="1415"/>
      <c r="AF19" s="1415"/>
      <c r="AG19" s="1415"/>
      <c r="AH19" s="1415"/>
      <c r="AI19" s="1415"/>
      <c r="AJ19" s="1415"/>
      <c r="AK19" s="701"/>
      <c r="AL19" s="701"/>
      <c r="AM19" s="1432">
        <f>'Deterministic Output VicSup'!A3</f>
        <v>2308.3619178082195</v>
      </c>
      <c r="AN19" s="1432"/>
      <c r="AO19" s="1432"/>
      <c r="AP19" s="1432"/>
      <c r="AQ19" s="1432"/>
      <c r="AR19" s="701"/>
      <c r="AS19" s="701"/>
      <c r="AT19" s="701"/>
      <c r="AU19" s="701"/>
      <c r="AV19" s="701"/>
      <c r="AW19" s="701"/>
      <c r="AX19" s="701"/>
      <c r="AY19" s="701"/>
      <c r="AZ19" s="701"/>
    </row>
    <row r="20" spans="3:52" ht="15" customHeight="1">
      <c r="Z20" s="692"/>
      <c r="AA20" s="692"/>
    </row>
    <row r="21" spans="3:52" ht="15" customHeight="1">
      <c r="Z21" s="692"/>
      <c r="AA21" s="692"/>
      <c r="AC21" s="697" t="s">
        <v>602</v>
      </c>
      <c r="AD21" s="698"/>
      <c r="AE21" s="698"/>
      <c r="AF21" s="698"/>
      <c r="AG21" s="698"/>
      <c r="AH21" s="698"/>
      <c r="AI21" s="698"/>
      <c r="AJ21" s="698"/>
      <c r="AK21" s="698"/>
      <c r="AL21" s="698"/>
      <c r="AM21" s="698"/>
      <c r="AN21" s="698"/>
      <c r="AO21" s="698"/>
      <c r="AP21" s="698"/>
      <c r="AQ21" s="698"/>
      <c r="AR21" s="698"/>
      <c r="AS21" s="698"/>
      <c r="AT21" s="698"/>
      <c r="AU21" s="698"/>
      <c r="AV21" s="698"/>
      <c r="AW21" s="698"/>
      <c r="AX21" s="698"/>
      <c r="AY21" s="698"/>
      <c r="AZ21" s="699"/>
    </row>
    <row r="22" spans="3:52" ht="15" customHeight="1">
      <c r="Z22" s="692"/>
      <c r="AA22" s="692"/>
      <c r="AC22" s="702"/>
      <c r="AD22" s="702"/>
      <c r="AE22" s="702"/>
      <c r="AF22" s="702"/>
      <c r="AG22" s="702"/>
      <c r="AH22" s="702"/>
      <c r="AI22" s="702"/>
      <c r="AJ22" s="702"/>
      <c r="AK22" s="702"/>
      <c r="AL22" s="702"/>
      <c r="AM22" s="1411" t="s">
        <v>22</v>
      </c>
      <c r="AN22" s="1411"/>
      <c r="AO22" s="1411"/>
      <c r="AP22" s="1411"/>
      <c r="AQ22" s="1411"/>
      <c r="AR22" s="1411"/>
      <c r="AS22" s="1411"/>
      <c r="AT22" s="1411" t="s">
        <v>23</v>
      </c>
      <c r="AU22" s="1411" t="s">
        <v>23</v>
      </c>
      <c r="AV22" s="1411"/>
      <c r="AW22" s="1411"/>
      <c r="AX22" s="1411"/>
      <c r="AY22" s="1411"/>
      <c r="AZ22" s="1411"/>
    </row>
    <row r="23" spans="3:52" ht="15" customHeight="1">
      <c r="Z23" s="692"/>
      <c r="AA23" s="692"/>
      <c r="AC23" s="1415" t="s">
        <v>603</v>
      </c>
      <c r="AD23" s="1415"/>
      <c r="AE23" s="1415"/>
      <c r="AF23" s="1415"/>
      <c r="AG23" s="1415"/>
      <c r="AH23" s="1415"/>
      <c r="AI23" s="701"/>
      <c r="AJ23" s="701"/>
      <c r="AK23" s="701"/>
      <c r="AL23" s="701"/>
      <c r="AM23" s="1428">
        <f>'Age Pension Calculator'!V67</f>
        <v>0</v>
      </c>
      <c r="AN23" s="1428"/>
      <c r="AO23" s="1428"/>
      <c r="AP23" s="1428"/>
      <c r="AQ23" s="1428"/>
      <c r="AR23" s="701"/>
      <c r="AS23" s="701"/>
      <c r="AT23" s="701"/>
      <c r="AU23" s="1428">
        <f>'Age Pension Calculator'!V72</f>
        <v>0</v>
      </c>
      <c r="AV23" s="1428"/>
      <c r="AW23" s="1428"/>
      <c r="AX23" s="1428"/>
      <c r="AY23" s="1428"/>
      <c r="AZ23" s="701"/>
    </row>
    <row r="24" spans="3:52" ht="15" customHeight="1">
      <c r="Z24" s="692"/>
      <c r="AA24" s="692"/>
      <c r="AC24" s="1422" t="s">
        <v>604</v>
      </c>
      <c r="AD24" s="1422"/>
      <c r="AE24" s="1422"/>
      <c r="AF24" s="1422"/>
      <c r="AG24" s="1422"/>
      <c r="AH24" s="1422"/>
      <c r="AI24" s="1422"/>
      <c r="AJ24" s="706"/>
      <c r="AK24" s="706"/>
      <c r="AL24" s="706"/>
      <c r="AM24" s="1431">
        <f>AM23*26</f>
        <v>0</v>
      </c>
      <c r="AN24" s="1431"/>
      <c r="AO24" s="1431"/>
      <c r="AP24" s="1431"/>
      <c r="AQ24" s="1117"/>
      <c r="AR24" s="706"/>
      <c r="AS24" s="706"/>
      <c r="AT24" s="706"/>
      <c r="AU24" s="1431">
        <f>AU23*26</f>
        <v>0</v>
      </c>
      <c r="AV24" s="1431"/>
      <c r="AW24" s="1431"/>
      <c r="AX24" s="1431"/>
      <c r="AY24" s="1431"/>
      <c r="AZ24" s="706"/>
    </row>
    <row r="25" spans="3:52" ht="15" customHeight="1">
      <c r="Z25" s="692"/>
      <c r="AA25" s="692"/>
      <c r="AC25" s="1429" t="s">
        <v>643</v>
      </c>
      <c r="AD25" s="1429"/>
      <c r="AE25" s="1429"/>
      <c r="AF25" s="1429"/>
      <c r="AG25" s="1429"/>
      <c r="AH25" s="1429"/>
      <c r="AI25" s="1429"/>
      <c r="AJ25" s="1429"/>
    </row>
    <row r="26" spans="3:52" ht="15" customHeight="1">
      <c r="C26" s="1412" t="s">
        <v>605</v>
      </c>
      <c r="D26" s="1412"/>
      <c r="E26" s="1412"/>
      <c r="F26" s="1412"/>
      <c r="G26" s="1412"/>
      <c r="H26" s="1412"/>
      <c r="I26" s="1412"/>
      <c r="J26" s="1412"/>
      <c r="K26" s="1412"/>
      <c r="L26" s="1412"/>
      <c r="M26" s="1412"/>
      <c r="N26" s="1412"/>
      <c r="O26" s="1412"/>
      <c r="P26" s="1412"/>
      <c r="Q26" s="1412"/>
      <c r="R26" s="1412"/>
      <c r="S26" s="1412"/>
      <c r="T26" s="1412"/>
      <c r="U26" s="1412"/>
      <c r="V26" s="1412"/>
      <c r="W26" s="1412"/>
      <c r="X26" s="1412"/>
      <c r="Y26" s="1412"/>
      <c r="Z26" s="1413"/>
      <c r="AA26" s="692"/>
      <c r="AC26" s="1430"/>
      <c r="AD26" s="1430"/>
      <c r="AE26" s="1430"/>
      <c r="AF26" s="1430"/>
      <c r="AG26" s="1430"/>
      <c r="AH26" s="1430"/>
      <c r="AI26" s="1430"/>
      <c r="AJ26" s="1430"/>
      <c r="AK26" s="701"/>
      <c r="AL26" s="701"/>
      <c r="AM26" s="1428">
        <f>AM24-'Test Sheet'!Z31</f>
        <v>0</v>
      </c>
      <c r="AN26" s="1428"/>
      <c r="AO26" s="1428"/>
      <c r="AP26" s="1428"/>
      <c r="AQ26" s="1116"/>
      <c r="AR26" s="701"/>
      <c r="AS26" s="701"/>
      <c r="AT26" s="701"/>
      <c r="AU26" s="1428">
        <f>AU24-'Test Sheet'!AA31</f>
        <v>0</v>
      </c>
      <c r="AV26" s="1428"/>
      <c r="AW26" s="1428"/>
      <c r="AX26" s="1428"/>
      <c r="AY26" s="1116"/>
      <c r="AZ26" s="701"/>
    </row>
    <row r="27" spans="3:52" ht="15" customHeight="1">
      <c r="Z27" s="692"/>
      <c r="AA27" s="692"/>
    </row>
    <row r="28" spans="3:52" ht="15" customHeight="1">
      <c r="C28" s="1528" t="s">
        <v>606</v>
      </c>
      <c r="D28" s="1528"/>
      <c r="E28" s="1528"/>
      <c r="F28" s="1528"/>
      <c r="G28" s="1528"/>
      <c r="H28" s="1528"/>
      <c r="I28" s="708"/>
      <c r="J28" s="700"/>
      <c r="L28" s="1434">
        <f>L4</f>
        <v>0</v>
      </c>
      <c r="M28" s="1434"/>
      <c r="N28" s="1434"/>
      <c r="O28" s="1434"/>
      <c r="P28" s="1434"/>
      <c r="Q28" s="1434"/>
      <c r="R28" s="1434"/>
      <c r="S28" s="1434"/>
      <c r="T28" s="1434"/>
      <c r="U28" s="1434"/>
      <c r="V28" s="1434"/>
      <c r="W28" s="1434"/>
      <c r="X28" s="1434"/>
      <c r="Y28" s="1434"/>
      <c r="Z28" s="1434"/>
      <c r="AA28" s="692"/>
      <c r="AC28" s="697" t="s">
        <v>891</v>
      </c>
      <c r="AD28" s="698"/>
      <c r="AE28" s="698"/>
      <c r="AF28" s="698"/>
      <c r="AG28" s="698"/>
      <c r="AH28" s="698"/>
      <c r="AI28" s="698"/>
      <c r="AJ28" s="698"/>
      <c r="AK28" s="698"/>
      <c r="AL28" s="698"/>
      <c r="AM28" s="698"/>
      <c r="AN28" s="698"/>
      <c r="AO28" s="698"/>
      <c r="AP28" s="698"/>
      <c r="AQ28" s="698"/>
      <c r="AR28" s="698"/>
      <c r="AS28" s="698"/>
      <c r="AT28" s="698"/>
      <c r="AU28" s="698"/>
      <c r="AV28" s="698"/>
      <c r="AW28" s="698"/>
      <c r="AX28" s="698"/>
      <c r="AY28" s="698"/>
      <c r="AZ28" s="699"/>
    </row>
    <row r="29" spans="3:52" ht="15" customHeight="1">
      <c r="C29" s="1441" t="s">
        <v>508</v>
      </c>
      <c r="D29" s="1441"/>
      <c r="E29" s="1441"/>
      <c r="F29" s="1441"/>
      <c r="G29" s="1441"/>
      <c r="H29" s="1441"/>
      <c r="I29" s="1441"/>
      <c r="J29" s="1441"/>
      <c r="K29" s="705"/>
      <c r="L29" s="1455" t="str">
        <f>'Age Pension Calculator'!V8</f>
        <v>Couple</v>
      </c>
      <c r="M29" s="1455"/>
      <c r="N29" s="1455"/>
      <c r="O29" s="1455"/>
      <c r="P29" s="710"/>
      <c r="Q29" s="710"/>
      <c r="R29" s="1441" t="s">
        <v>607</v>
      </c>
      <c r="S29" s="1441"/>
      <c r="T29" s="1441"/>
      <c r="U29" s="1441"/>
      <c r="V29" s="1441"/>
      <c r="W29" s="710"/>
      <c r="X29" s="1455" t="str">
        <f>'Age Pension Calculator'!V11</f>
        <v>Yes</v>
      </c>
      <c r="Y29" s="1455"/>
      <c r="Z29" s="1455"/>
      <c r="AA29" s="692"/>
      <c r="AC29" s="702"/>
      <c r="AD29" s="702"/>
      <c r="AE29" s="702"/>
      <c r="AF29" s="702"/>
      <c r="AG29" s="702"/>
      <c r="AH29" s="702"/>
      <c r="AI29" s="702"/>
      <c r="AJ29" s="702"/>
      <c r="AK29" s="702"/>
      <c r="AL29" s="702"/>
      <c r="AM29" s="703" t="s">
        <v>39</v>
      </c>
      <c r="AN29" s="704"/>
      <c r="AO29" s="704"/>
      <c r="AP29" s="704"/>
      <c r="AQ29" s="704"/>
      <c r="AR29" s="704"/>
      <c r="AS29" s="704"/>
      <c r="AT29" s="704"/>
      <c r="AU29" s="703" t="s">
        <v>15</v>
      </c>
      <c r="AV29" s="704"/>
      <c r="AW29" s="704"/>
      <c r="AX29" s="704"/>
      <c r="AY29" s="702"/>
      <c r="AZ29" s="702"/>
    </row>
    <row r="30" spans="3:52" ht="15" customHeight="1">
      <c r="C30" s="711"/>
      <c r="Z30" s="692"/>
      <c r="AA30" s="692"/>
      <c r="AC30" s="1414" t="s">
        <v>1217</v>
      </c>
      <c r="AD30" s="1414"/>
      <c r="AE30" s="1414"/>
      <c r="AF30" s="1414"/>
      <c r="AG30" s="1414"/>
      <c r="AH30" s="1414"/>
      <c r="AI30" s="1414"/>
      <c r="AJ30" s="1414"/>
      <c r="AK30" s="1414"/>
      <c r="AM30" s="1427">
        <f>'Age Pension Calculator'!V38</f>
        <v>200000</v>
      </c>
      <c r="AN30" s="1427"/>
      <c r="AO30" s="1427"/>
      <c r="AP30" s="1427"/>
      <c r="AQ30" s="1427"/>
      <c r="AU30" s="1427">
        <f>'Deterministic Output VicSup'!R7</f>
        <v>30109.507475538157</v>
      </c>
      <c r="AV30" s="1427"/>
      <c r="AW30" s="1427"/>
      <c r="AX30" s="1427"/>
      <c r="AY30" s="1427"/>
      <c r="AZ30" s="1427"/>
    </row>
    <row r="31" spans="3:52" ht="15" customHeight="1">
      <c r="C31" s="702"/>
      <c r="D31" s="702"/>
      <c r="E31" s="702"/>
      <c r="F31" s="702"/>
      <c r="G31" s="702"/>
      <c r="H31" s="702"/>
      <c r="I31" s="702"/>
      <c r="J31" s="702"/>
      <c r="K31" s="712"/>
      <c r="L31" s="1411" t="s">
        <v>22</v>
      </c>
      <c r="M31" s="1411"/>
      <c r="N31" s="1411"/>
      <c r="O31" s="1411"/>
      <c r="P31" s="1411"/>
      <c r="Q31" s="1411"/>
      <c r="R31" s="703"/>
      <c r="S31" s="703"/>
      <c r="T31" s="1411" t="s">
        <v>23</v>
      </c>
      <c r="U31" s="1411"/>
      <c r="V31" s="1411"/>
      <c r="W31" s="1411"/>
      <c r="X31" s="1411"/>
      <c r="Y31" s="1411"/>
      <c r="Z31" s="1411"/>
      <c r="AA31" s="692"/>
      <c r="AC31" s="1415" t="s">
        <v>1216</v>
      </c>
      <c r="AD31" s="1415"/>
      <c r="AE31" s="1415"/>
      <c r="AF31" s="1415"/>
      <c r="AG31" s="1415"/>
      <c r="AH31" s="1415"/>
      <c r="AI31" s="1415"/>
      <c r="AJ31" s="1415"/>
      <c r="AK31" s="1415"/>
      <c r="AL31" s="701"/>
      <c r="AM31" s="1428">
        <f>'Age Pension Calculator'!V41</f>
        <v>150000</v>
      </c>
      <c r="AN31" s="1428"/>
      <c r="AO31" s="1428"/>
      <c r="AP31" s="1428"/>
      <c r="AQ31" s="1428"/>
      <c r="AR31" s="701"/>
      <c r="AS31" s="701"/>
      <c r="AT31" s="701"/>
      <c r="AU31" s="1428">
        <f>'Deterministic Output VicSup'!R9</f>
        <v>22582.13060665362</v>
      </c>
      <c r="AV31" s="1428"/>
      <c r="AW31" s="1428"/>
      <c r="AX31" s="1428"/>
      <c r="AY31" s="1428"/>
      <c r="AZ31" s="1428"/>
    </row>
    <row r="32" spans="3:52" ht="15" customHeight="1">
      <c r="C32" s="1528" t="s">
        <v>24</v>
      </c>
      <c r="D32" s="1528"/>
      <c r="E32" s="1528"/>
      <c r="F32" s="1528"/>
      <c r="G32" s="1528"/>
      <c r="H32" s="708"/>
      <c r="I32" s="708"/>
      <c r="J32" s="700"/>
      <c r="K32" s="700"/>
      <c r="L32" s="1434" t="str">
        <f>'Age Pension Calculator'!X14</f>
        <v>Male</v>
      </c>
      <c r="M32" s="1434"/>
      <c r="N32" s="1434"/>
      <c r="O32" s="1434"/>
      <c r="P32" s="708"/>
      <c r="Q32" s="708"/>
      <c r="R32" s="708"/>
      <c r="S32" s="708"/>
      <c r="T32" s="1434" t="str">
        <f>'Age Pension Calculator'!X19</f>
        <v>Female</v>
      </c>
      <c r="U32" s="1434"/>
      <c r="V32" s="1434"/>
      <c r="W32" s="1434"/>
      <c r="X32" s="1434"/>
      <c r="Y32" s="708"/>
      <c r="Z32" s="708"/>
      <c r="AA32" s="692"/>
      <c r="AC32" s="1429" t="s">
        <v>600</v>
      </c>
      <c r="AD32" s="1429"/>
      <c r="AE32" s="1429"/>
      <c r="AF32" s="1429"/>
      <c r="AG32" s="1429"/>
      <c r="AH32" s="1429"/>
      <c r="AI32" s="1429"/>
      <c r="AJ32" s="1429"/>
      <c r="AK32" s="1429"/>
      <c r="AU32" s="767"/>
      <c r="AV32" s="767"/>
      <c r="AW32" s="767"/>
      <c r="AX32" s="767"/>
      <c r="AY32" s="767"/>
    </row>
    <row r="33" spans="3:52" ht="15" customHeight="1">
      <c r="C33" s="1441" t="s">
        <v>21</v>
      </c>
      <c r="D33" s="1441"/>
      <c r="E33" s="1441"/>
      <c r="F33" s="1441"/>
      <c r="G33" s="1441"/>
      <c r="H33" s="1441"/>
      <c r="I33" s="1441"/>
      <c r="J33" s="700"/>
      <c r="K33" s="700"/>
      <c r="L33" s="1527">
        <f>'Age Pension Calculator'!T16</f>
        <v>18264</v>
      </c>
      <c r="M33" s="1527"/>
      <c r="N33" s="1527"/>
      <c r="O33" s="1527"/>
      <c r="P33" s="708"/>
      <c r="Q33" s="708"/>
      <c r="R33" s="708"/>
      <c r="S33" s="708"/>
      <c r="T33" s="1527">
        <f>'Age Pension Calculator'!T21</f>
        <v>18265</v>
      </c>
      <c r="U33" s="1527"/>
      <c r="V33" s="1527"/>
      <c r="W33" s="1527"/>
      <c r="X33" s="1527"/>
      <c r="Y33" s="708"/>
      <c r="Z33" s="708"/>
      <c r="AA33" s="692"/>
      <c r="AC33" s="1430"/>
      <c r="AD33" s="1430"/>
      <c r="AE33" s="1430"/>
      <c r="AF33" s="1430"/>
      <c r="AG33" s="1430"/>
      <c r="AH33" s="1430"/>
      <c r="AI33" s="1430"/>
      <c r="AJ33" s="1430"/>
      <c r="AK33" s="1430"/>
      <c r="AL33" s="701"/>
      <c r="AM33" s="1428">
        <f>'Age Pension Calculator'!V46</f>
        <v>15000</v>
      </c>
      <c r="AN33" s="1428"/>
      <c r="AO33" s="1428"/>
      <c r="AP33" s="1428"/>
      <c r="AQ33" s="1428"/>
      <c r="AR33" s="701"/>
      <c r="AS33" s="701"/>
      <c r="AT33" s="701"/>
      <c r="AU33" s="1434" t="s">
        <v>579</v>
      </c>
      <c r="AV33" s="1434"/>
      <c r="AW33" s="1434"/>
      <c r="AX33" s="1434"/>
      <c r="AY33" s="701"/>
      <c r="AZ33" s="701"/>
    </row>
    <row r="34" spans="3:52" ht="15" customHeight="1">
      <c r="C34" s="1441" t="s">
        <v>3</v>
      </c>
      <c r="D34" s="1441"/>
      <c r="E34" s="1441"/>
      <c r="F34" s="1441"/>
      <c r="G34" s="1441"/>
      <c r="H34" s="1441"/>
      <c r="I34" s="708"/>
      <c r="J34" s="700"/>
      <c r="K34" s="700"/>
      <c r="L34" s="1442">
        <f ca="1">'Age Pension additional calcs'!F34</f>
        <v>66</v>
      </c>
      <c r="M34" s="1442"/>
      <c r="N34" s="1442"/>
      <c r="O34" s="1442"/>
      <c r="P34" s="708"/>
      <c r="Q34" s="708"/>
      <c r="R34" s="708"/>
      <c r="S34" s="708"/>
      <c r="T34" s="1442">
        <f ca="1">'Age Pension additional calcs'!F35</f>
        <v>66</v>
      </c>
      <c r="U34" s="1442"/>
      <c r="V34" s="1442"/>
      <c r="W34" s="1442"/>
      <c r="X34" s="1442"/>
      <c r="Y34" s="708"/>
      <c r="Z34" s="708"/>
      <c r="AA34" s="692"/>
      <c r="AC34" s="1422" t="s">
        <v>541</v>
      </c>
      <c r="AD34" s="1422"/>
      <c r="AE34" s="1422"/>
      <c r="AF34" s="1422"/>
      <c r="AG34" s="1422"/>
      <c r="AH34" s="1422"/>
      <c r="AI34" s="1422"/>
      <c r="AJ34" s="1422"/>
      <c r="AK34" s="701"/>
      <c r="AL34" s="701"/>
      <c r="AM34" s="1428">
        <f>'Age Pension Calculator'!V52</f>
        <v>0</v>
      </c>
      <c r="AN34" s="1428"/>
      <c r="AO34" s="1428"/>
      <c r="AP34" s="1428"/>
      <c r="AQ34" s="1428"/>
      <c r="AR34" s="701"/>
      <c r="AS34" s="701"/>
      <c r="AT34" s="701"/>
      <c r="AU34" s="1428">
        <f>'Deterministic Output VicSup'!E3-AM24-IF('Age Pension Calculator'!V8="Couple",'Age Pension report'!AU24,0)-AU37-AU36</f>
        <v>0</v>
      </c>
      <c r="AV34" s="1428"/>
      <c r="AW34" s="1428"/>
      <c r="AX34" s="1428"/>
      <c r="AY34" s="1428"/>
      <c r="AZ34" s="1116"/>
    </row>
    <row r="35" spans="3:52" ht="15" customHeight="1">
      <c r="C35" s="1441" t="s">
        <v>1204</v>
      </c>
      <c r="D35" s="1441"/>
      <c r="E35" s="1441"/>
      <c r="F35" s="1441"/>
      <c r="G35" s="1441"/>
      <c r="H35" s="1441"/>
      <c r="I35" s="1441"/>
      <c r="J35" s="1441"/>
      <c r="K35" s="1441"/>
      <c r="L35" s="1455" t="str">
        <f ca="1">'Age Pension Calculator'!AJ16</f>
        <v>Yes</v>
      </c>
      <c r="M35" s="1455"/>
      <c r="N35" s="1455"/>
      <c r="O35" s="1455"/>
      <c r="P35" s="708"/>
      <c r="Q35" s="708"/>
      <c r="R35" s="708"/>
      <c r="S35" s="708"/>
      <c r="T35" s="1455" t="str">
        <f ca="1">'Age Pension Calculator'!AJ17</f>
        <v>Yes</v>
      </c>
      <c r="U35" s="1455"/>
      <c r="V35" s="1455"/>
      <c r="W35" s="1455"/>
      <c r="X35" s="1455"/>
      <c r="Y35" s="708"/>
      <c r="Z35" s="708"/>
      <c r="AA35" s="692"/>
      <c r="AC35" s="1422" t="s">
        <v>1181</v>
      </c>
      <c r="AD35" s="1422"/>
      <c r="AE35" s="1422"/>
      <c r="AF35" s="1422"/>
      <c r="AG35" s="1422"/>
      <c r="AH35" s="1422"/>
      <c r="AI35" s="1422"/>
      <c r="AJ35" s="1422"/>
      <c r="AK35" s="701"/>
      <c r="AL35" s="701"/>
      <c r="AM35" s="1428">
        <f>'Age Pension Calculator'!V49</f>
        <v>500000</v>
      </c>
      <c r="AN35" s="1428"/>
      <c r="AO35" s="1428"/>
      <c r="AP35" s="1428"/>
      <c r="AQ35" s="1428"/>
      <c r="AR35" s="701"/>
      <c r="AS35" s="701"/>
      <c r="AT35" s="701"/>
      <c r="AU35" s="1428">
        <f>'Deterministic Output VicSup'!F3+'Deterministic Output VicSup'!G3</f>
        <v>15000</v>
      </c>
      <c r="AV35" s="1428"/>
      <c r="AW35" s="1428"/>
      <c r="AX35" s="1428"/>
      <c r="AY35" s="1428"/>
      <c r="AZ35" s="1116"/>
    </row>
    <row r="36" spans="3:52" ht="15" customHeight="1">
      <c r="AA36" s="692"/>
      <c r="AC36" s="1422" t="s">
        <v>49</v>
      </c>
      <c r="AD36" s="1422"/>
      <c r="AE36" s="1422"/>
      <c r="AF36" s="1422"/>
      <c r="AG36" s="1422"/>
      <c r="AH36" s="1422"/>
      <c r="AI36" s="1422"/>
      <c r="AJ36" s="708"/>
      <c r="AK36" s="701"/>
      <c r="AL36" s="701"/>
      <c r="AM36" s="1428">
        <f>'Age Pension Calculator'!V55</f>
        <v>0</v>
      </c>
      <c r="AN36" s="1428"/>
      <c r="AO36" s="1428"/>
      <c r="AP36" s="1428"/>
      <c r="AQ36" s="1428"/>
      <c r="AR36" s="701"/>
      <c r="AS36" s="701"/>
      <c r="AT36" s="701"/>
      <c r="AU36" s="1428">
        <f>'Age Pension Calculator'!W57*52</f>
        <v>0</v>
      </c>
      <c r="AV36" s="1428"/>
      <c r="AW36" s="1428"/>
      <c r="AX36" s="1428"/>
      <c r="AY36" s="1428"/>
      <c r="AZ36" s="701"/>
    </row>
    <row r="37" spans="3:52" ht="15" customHeight="1">
      <c r="AC37" s="1415" t="s">
        <v>179</v>
      </c>
      <c r="AD37" s="1415"/>
      <c r="AE37" s="1415"/>
      <c r="AF37" s="1415"/>
      <c r="AG37" s="1415"/>
      <c r="AH37" s="1415"/>
      <c r="AI37" s="1415"/>
      <c r="AJ37" s="1415"/>
      <c r="AK37" s="701"/>
      <c r="AL37" s="701"/>
      <c r="AM37" s="1428" t="s">
        <v>579</v>
      </c>
      <c r="AN37" s="1428"/>
      <c r="AO37" s="1428"/>
      <c r="AP37" s="1428"/>
      <c r="AQ37" s="1428"/>
      <c r="AR37" s="701"/>
      <c r="AS37" s="701"/>
      <c r="AT37" s="701"/>
      <c r="AU37" s="1428">
        <f>'Age Pension Calculator'!V62</f>
        <v>0</v>
      </c>
      <c r="AV37" s="1428"/>
      <c r="AW37" s="1428"/>
      <c r="AX37" s="1428"/>
      <c r="AY37" s="1428"/>
      <c r="AZ37" s="701"/>
    </row>
    <row r="38" spans="3:52" ht="15" customHeight="1">
      <c r="C38" s="1412" t="str">
        <f>IF(M39=AW39,"Target retirement income (including Age Pension / before tax)","Target* retirement income (including Age Pension / before tax)")</f>
        <v>Target retirement income (including Age Pension / before tax)</v>
      </c>
      <c r="D38" s="1412"/>
      <c r="E38" s="1412"/>
      <c r="F38" s="1412"/>
      <c r="G38" s="1412"/>
      <c r="H38" s="1412"/>
      <c r="I38" s="1412"/>
      <c r="J38" s="1412"/>
      <c r="K38" s="1412"/>
      <c r="L38" s="1412"/>
      <c r="M38" s="1412"/>
      <c r="N38" s="1412"/>
      <c r="O38" s="1412"/>
      <c r="P38" s="1412"/>
      <c r="Q38" s="1412"/>
      <c r="R38" s="1412"/>
      <c r="S38" s="1412"/>
      <c r="T38" s="1412"/>
      <c r="U38" s="1412"/>
      <c r="V38" s="1412"/>
      <c r="W38" s="1412"/>
      <c r="X38" s="1412"/>
      <c r="Y38" s="1412"/>
      <c r="Z38" s="1413"/>
      <c r="AA38" s="692"/>
      <c r="AD38" s="768"/>
      <c r="AE38" s="768"/>
      <c r="AF38" s="768"/>
      <c r="AG38" s="768"/>
      <c r="AH38" s="768"/>
      <c r="AI38" s="768"/>
    </row>
    <row r="39" spans="3:52" ht="15" customHeight="1">
      <c r="C39" s="700" t="s">
        <v>577</v>
      </c>
      <c r="D39" s="701"/>
      <c r="E39" s="701"/>
      <c r="F39" s="701"/>
      <c r="G39" s="701"/>
      <c r="H39" s="701"/>
      <c r="I39" s="701"/>
      <c r="J39" s="701"/>
      <c r="K39" s="701"/>
      <c r="L39" s="701"/>
      <c r="M39" s="1428" t="str">
        <f>""&amp;TEXT('Age Pension Calculator'!V26,"$#,###")&amp;""</f>
        <v>$70,000</v>
      </c>
      <c r="N39" s="1428"/>
      <c r="O39" s="1428"/>
      <c r="P39" s="1428"/>
      <c r="Q39" s="1428"/>
      <c r="R39" s="701"/>
      <c r="S39" s="701"/>
      <c r="T39" s="701"/>
      <c r="U39" s="701"/>
      <c r="V39" s="701"/>
      <c r="W39" s="701"/>
      <c r="X39" s="701"/>
      <c r="Y39" s="701"/>
      <c r="Z39" s="701"/>
      <c r="AA39" s="692"/>
      <c r="AC39" s="713"/>
      <c r="AD39" s="713"/>
      <c r="AE39" s="713"/>
      <c r="AF39" s="713"/>
      <c r="AG39" s="713"/>
      <c r="AH39" s="713"/>
      <c r="AI39" s="1439" t="s">
        <v>1182</v>
      </c>
      <c r="AJ39" s="1439"/>
      <c r="AK39" s="1439"/>
      <c r="AL39" s="1439"/>
      <c r="AM39" s="1439"/>
      <c r="AN39" s="1435">
        <f>AM36+AM34+AM33+AM31+AM30+AM35</f>
        <v>865000</v>
      </c>
      <c r="AO39" s="1435"/>
      <c r="AP39" s="1435"/>
      <c r="AQ39" s="1435"/>
      <c r="AR39" s="1439" t="s">
        <v>1183</v>
      </c>
      <c r="AS39" s="1439"/>
      <c r="AT39" s="1439"/>
      <c r="AU39" s="1439"/>
      <c r="AV39" s="1439"/>
      <c r="AW39" s="1435" t="str">
        <f>""&amp;TEXT(AU37+AU36+AU34+AU31+AU30+AM19+AU24+AM24+AU35,"$#,###")&amp;""</f>
        <v>$70,000</v>
      </c>
      <c r="AX39" s="1435"/>
      <c r="AY39" s="1435"/>
      <c r="AZ39" s="1435"/>
    </row>
    <row r="40" spans="3:52" ht="15" customHeight="1">
      <c r="C40" s="1450" t="s">
        <v>890</v>
      </c>
      <c r="D40" s="1450"/>
      <c r="E40" s="1450"/>
      <c r="F40" s="1450"/>
      <c r="G40" s="1450"/>
      <c r="H40" s="1450"/>
      <c r="I40" s="1450"/>
      <c r="J40" s="1450"/>
      <c r="K40" s="1450"/>
      <c r="L40" s="1450"/>
      <c r="M40" s="1450"/>
      <c r="N40" s="1450"/>
      <c r="O40" s="1450"/>
      <c r="P40" s="1450"/>
      <c r="Q40" s="1450"/>
      <c r="R40" s="1450"/>
      <c r="S40" s="1450"/>
      <c r="T40" s="1450"/>
      <c r="U40" s="1450"/>
      <c r="V40" s="1450"/>
      <c r="W40" s="1450"/>
      <c r="X40" s="1450"/>
      <c r="Y40" s="1450"/>
      <c r="Z40" s="1450"/>
      <c r="AA40" s="692"/>
      <c r="AI40" s="1439"/>
      <c r="AJ40" s="1439"/>
      <c r="AK40" s="1439"/>
      <c r="AL40" s="1439"/>
      <c r="AM40" s="1439"/>
      <c r="AN40" s="1435"/>
      <c r="AO40" s="1435"/>
      <c r="AP40" s="1435"/>
      <c r="AQ40" s="1435"/>
      <c r="AR40" s="1439"/>
      <c r="AS40" s="1439"/>
      <c r="AT40" s="1439"/>
      <c r="AU40" s="1439"/>
      <c r="AV40" s="1439"/>
      <c r="AW40" s="1435"/>
      <c r="AX40" s="1435"/>
      <c r="AY40" s="1435"/>
      <c r="AZ40" s="1435"/>
    </row>
    <row r="41" spans="3:52" ht="15" customHeight="1">
      <c r="C41" s="1451"/>
      <c r="D41" s="1451"/>
      <c r="E41" s="1451"/>
      <c r="F41" s="1451"/>
      <c r="G41" s="1451"/>
      <c r="H41" s="1451"/>
      <c r="I41" s="1451"/>
      <c r="J41" s="1451"/>
      <c r="K41" s="1451"/>
      <c r="L41" s="1451"/>
      <c r="M41" s="1451"/>
      <c r="N41" s="1451"/>
      <c r="O41" s="1451"/>
      <c r="P41" s="1451"/>
      <c r="Q41" s="1451"/>
      <c r="R41" s="1451"/>
      <c r="S41" s="1451"/>
      <c r="T41" s="1451"/>
      <c r="U41" s="1451"/>
      <c r="V41" s="1451"/>
      <c r="W41" s="1451"/>
      <c r="X41" s="1451"/>
      <c r="Y41" s="1451"/>
      <c r="Z41" s="1451"/>
      <c r="AA41" s="692"/>
    </row>
    <row r="42" spans="3:52" ht="15" customHeight="1">
      <c r="C42" s="714"/>
      <c r="D42" s="714"/>
      <c r="E42" s="714"/>
      <c r="F42" s="714"/>
      <c r="G42" s="714"/>
      <c r="H42" s="714"/>
      <c r="I42" s="714"/>
      <c r="J42" s="714"/>
      <c r="K42" s="714"/>
      <c r="L42" s="714"/>
      <c r="M42" s="714"/>
      <c r="N42" s="714"/>
      <c r="O42" s="714"/>
      <c r="P42" s="714"/>
      <c r="Q42" s="714"/>
      <c r="R42" s="714"/>
      <c r="S42" s="714"/>
      <c r="T42" s="714"/>
      <c r="U42" s="714"/>
      <c r="V42" s="714"/>
      <c r="W42" s="714"/>
      <c r="X42" s="714"/>
      <c r="Y42" s="714"/>
      <c r="Z42" s="715"/>
      <c r="AA42" s="715"/>
      <c r="AB42" s="714"/>
      <c r="AC42" s="714"/>
      <c r="AD42" s="714"/>
      <c r="AE42" s="714"/>
      <c r="AF42" s="714"/>
      <c r="AG42" s="714"/>
      <c r="AH42" s="714"/>
      <c r="AI42" s="714"/>
      <c r="AJ42" s="714"/>
      <c r="AK42" s="714"/>
      <c r="AL42" s="714"/>
      <c r="AM42" s="714"/>
      <c r="AN42" s="714"/>
      <c r="AO42" s="714"/>
      <c r="AP42" s="714"/>
      <c r="AQ42" s="714"/>
      <c r="AR42" s="714"/>
      <c r="AS42" s="714"/>
      <c r="AT42" s="716" t="str">
        <f>IF(OR(APCClientName="",APCAdviserName=""),"","Prepared by "&amp;L6&amp;" for "&amp;$L$4&amp;"")</f>
        <v/>
      </c>
      <c r="AU42" s="717"/>
      <c r="AV42" s="1443" t="s">
        <v>560</v>
      </c>
      <c r="AW42" s="1443"/>
      <c r="AX42" s="1443"/>
      <c r="AY42" s="1443"/>
      <c r="AZ42" s="1443"/>
    </row>
    <row r="43" spans="3:52" ht="15" customHeight="1">
      <c r="Z43" s="692"/>
      <c r="AA43" s="692"/>
    </row>
    <row r="44" spans="3:52" ht="15" customHeight="1">
      <c r="Z44" s="692"/>
      <c r="AA44" s="692"/>
    </row>
    <row r="45" spans="3:52" ht="26.25">
      <c r="C45" s="693" t="s">
        <v>570</v>
      </c>
      <c r="Z45" s="692"/>
      <c r="AA45" s="692"/>
    </row>
    <row r="46" spans="3:52" ht="15" customHeight="1">
      <c r="Z46" s="692"/>
      <c r="AA46" s="692"/>
    </row>
    <row r="47" spans="3:52" ht="22.5" customHeight="1">
      <c r="C47" s="694" t="s">
        <v>614</v>
      </c>
      <c r="D47" s="695"/>
      <c r="E47" s="695"/>
      <c r="F47" s="695"/>
      <c r="G47" s="695"/>
      <c r="H47" s="695"/>
      <c r="I47" s="1436" t="str">
        <f>IF('Age Pension additional calcs'!I39=0,"Note: From 1 January 2017 you will cease receiving the Age Pension due to the Assets Test taper rate change ","Note: From 1 January 2017 the fortnightly pension will decrease to "&amp;TEXT('Age Pension additional calcs'!I39,"$#,###")&amp;" (a reduction of "&amp;TEXT('Age Pension additional calcs'!I40,"$#,###")&amp;") due to the Assets Test taper rate change")</f>
        <v xml:space="preserve">Note: From 1 January 2017 you will cease receiving the Age Pension due to the Assets Test taper rate change </v>
      </c>
      <c r="J47" s="1436"/>
      <c r="K47" s="1436"/>
      <c r="L47" s="1436"/>
      <c r="M47" s="1436"/>
      <c r="N47" s="1436"/>
      <c r="O47" s="1436"/>
      <c r="P47" s="1436"/>
      <c r="Q47" s="1436"/>
      <c r="R47" s="1436"/>
      <c r="S47" s="1436"/>
      <c r="T47" s="1436"/>
      <c r="U47" s="1436"/>
      <c r="V47" s="1436"/>
      <c r="W47" s="1436"/>
      <c r="X47" s="1436"/>
      <c r="Y47" s="1436"/>
      <c r="Z47" s="1436"/>
      <c r="AA47" s="1436"/>
      <c r="AB47" s="1436"/>
      <c r="AC47" s="1436"/>
      <c r="AD47" s="1436"/>
      <c r="AE47" s="1436"/>
      <c r="AF47" s="1436"/>
      <c r="AG47" s="1436"/>
      <c r="AH47" s="1436"/>
      <c r="AI47" s="1436"/>
      <c r="AJ47" s="1436"/>
      <c r="AK47" s="1436"/>
      <c r="AL47" s="1436"/>
      <c r="AM47" s="1436"/>
      <c r="AN47" s="1436"/>
      <c r="AO47" s="1436"/>
      <c r="AP47" s="1436"/>
      <c r="AQ47" s="1436"/>
      <c r="AR47" s="1436"/>
      <c r="AS47" s="1436"/>
      <c r="AT47" s="1436"/>
      <c r="AU47" s="1436"/>
      <c r="AV47" s="1436"/>
      <c r="AW47" s="1436"/>
      <c r="AX47" s="1436"/>
      <c r="AY47" s="1436"/>
      <c r="AZ47" s="1436"/>
    </row>
    <row r="48" spans="3:52" ht="15" customHeight="1">
      <c r="Z48" s="692"/>
      <c r="AA48" s="692"/>
    </row>
    <row r="49" spans="3:52" ht="15" customHeight="1">
      <c r="C49" s="713" t="s">
        <v>658</v>
      </c>
      <c r="AA49" s="692"/>
      <c r="AH49" s="713" t="s">
        <v>654</v>
      </c>
    </row>
    <row r="50" spans="3:52" ht="15" customHeight="1">
      <c r="C50" s="689"/>
      <c r="D50" s="689"/>
      <c r="E50" s="689"/>
      <c r="F50" s="689"/>
      <c r="G50" s="689"/>
      <c r="H50" s="689"/>
      <c r="I50" s="689"/>
      <c r="J50" s="689"/>
      <c r="K50" s="689"/>
      <c r="L50" s="689"/>
      <c r="M50" s="689"/>
      <c r="N50" s="719"/>
      <c r="O50" s="719"/>
      <c r="P50" s="719"/>
      <c r="Q50" s="719"/>
      <c r="R50" s="719"/>
      <c r="S50" s="719"/>
      <c r="T50" s="719"/>
      <c r="U50" s="719"/>
      <c r="V50" s="719"/>
      <c r="W50" s="719"/>
      <c r="X50" s="719"/>
      <c r="Y50" s="719"/>
      <c r="Z50" s="719"/>
      <c r="AA50" s="719"/>
      <c r="AB50" s="719"/>
      <c r="AC50" s="719"/>
      <c r="AD50" s="719"/>
      <c r="AE50" s="719"/>
      <c r="AF50" s="719"/>
      <c r="AH50" s="721"/>
      <c r="AI50" s="721"/>
      <c r="AJ50" s="1457" t="str">
        <f ca="1">IF('Age Pension additional calcs'!P36=0,"The withdrawal value at the end of year 15 remained unchanged",""&amp;IF('Age Pension additional calcs'!P35&gt;0,"↑","↓")&amp;" "&amp;IF('Age Pension additional calcs'!P36&gt;0,"Estimated to provide an increased end of year 15 portfolio value of","Estimated to provide a lower end of year 15 portfolio value of")&amp;" "&amp;TEXT('Age Pension additional calcs'!P36,"$#,###")&amp;" ("&amp;TEXT('Age Pension additional calcs'!P35,"$#,###")&amp;" today's dollars)")</f>
        <v>↑ Estimated to provide an increased end of year 15 portfolio value of $42,698 ($29,482 today's dollars)</v>
      </c>
      <c r="AK50" s="1457"/>
      <c r="AL50" s="1457"/>
      <c r="AM50" s="1457"/>
      <c r="AN50" s="1457"/>
      <c r="AO50" s="1457"/>
      <c r="AP50" s="1457"/>
      <c r="AQ50" s="1457"/>
      <c r="AR50" s="1457"/>
      <c r="AS50" s="1457"/>
      <c r="AT50" s="1457"/>
      <c r="AU50" s="1457"/>
      <c r="AV50" s="1457"/>
      <c r="AW50" s="1457"/>
      <c r="AX50" s="1457"/>
      <c r="AY50" s="1457"/>
      <c r="AZ50" s="1098"/>
    </row>
    <row r="51" spans="3:52" ht="15" customHeight="1">
      <c r="C51" s="689"/>
      <c r="D51" s="689"/>
      <c r="E51" s="689"/>
      <c r="F51" s="689"/>
      <c r="G51" s="689"/>
      <c r="H51" s="689"/>
      <c r="I51" s="689"/>
      <c r="J51" s="689"/>
      <c r="K51" s="689"/>
      <c r="L51" s="689"/>
      <c r="M51" s="689"/>
      <c r="N51" s="719"/>
      <c r="O51" s="719"/>
      <c r="P51" s="719"/>
      <c r="Q51" s="719"/>
      <c r="R51" s="1464" t="s">
        <v>524</v>
      </c>
      <c r="S51" s="1464"/>
      <c r="T51" s="1464"/>
      <c r="U51" s="1464"/>
      <c r="V51" s="1464"/>
      <c r="W51" s="1464"/>
      <c r="X51" s="1464"/>
      <c r="Y51" s="1464"/>
      <c r="Z51" s="1464"/>
      <c r="AA51" s="1453">
        <f>'Age Pension Calculator'!AH26</f>
        <v>865000</v>
      </c>
      <c r="AB51" s="1453"/>
      <c r="AC51" s="1453"/>
      <c r="AD51" s="1453"/>
      <c r="AE51" s="719"/>
      <c r="AF51" s="719"/>
      <c r="AH51" s="721"/>
      <c r="AI51" s="721"/>
      <c r="AJ51" s="1457"/>
      <c r="AK51" s="1457"/>
      <c r="AL51" s="1457"/>
      <c r="AM51" s="1457"/>
      <c r="AN51" s="1457"/>
      <c r="AO51" s="1457"/>
      <c r="AP51" s="1457"/>
      <c r="AQ51" s="1457"/>
      <c r="AR51" s="1457"/>
      <c r="AS51" s="1457"/>
      <c r="AT51" s="1457"/>
      <c r="AU51" s="1457"/>
      <c r="AV51" s="1457"/>
      <c r="AW51" s="1457"/>
      <c r="AX51" s="1457"/>
      <c r="AY51" s="1457"/>
      <c r="AZ51" s="1098"/>
    </row>
    <row r="52" spans="3:52" ht="15" customHeight="1">
      <c r="C52" s="689"/>
      <c r="D52" s="689"/>
      <c r="E52" s="689"/>
      <c r="F52" s="689"/>
      <c r="G52" s="689"/>
      <c r="H52" s="689"/>
      <c r="I52" s="689"/>
      <c r="J52" s="689"/>
      <c r="K52" s="689"/>
      <c r="L52" s="689"/>
      <c r="M52" s="689"/>
      <c r="N52" s="719"/>
      <c r="O52" s="719"/>
      <c r="P52" s="719"/>
      <c r="Q52" s="719"/>
      <c r="R52" s="1449" t="s">
        <v>525</v>
      </c>
      <c r="S52" s="1449"/>
      <c r="T52" s="1449"/>
      <c r="U52" s="1449"/>
      <c r="V52" s="1449"/>
      <c r="W52" s="1449"/>
      <c r="X52" s="1449"/>
      <c r="Y52" s="1449"/>
      <c r="Z52" s="1449"/>
      <c r="AA52" s="1452">
        <f>'Age Pension Calculator'!AH28</f>
        <v>26401</v>
      </c>
      <c r="AB52" s="1452"/>
      <c r="AC52" s="1452"/>
      <c r="AD52" s="1452"/>
      <c r="AE52" s="719"/>
      <c r="AF52" s="719"/>
      <c r="AH52" s="721"/>
      <c r="AI52" s="721"/>
      <c r="AJ52" s="1457"/>
      <c r="AK52" s="1457"/>
      <c r="AL52" s="1457"/>
      <c r="AM52" s="1457"/>
      <c r="AN52" s="1457"/>
      <c r="AO52" s="1457"/>
      <c r="AP52" s="1457"/>
      <c r="AQ52" s="1457"/>
      <c r="AR52" s="1457"/>
      <c r="AS52" s="1457"/>
      <c r="AT52" s="1457"/>
      <c r="AU52" s="1457"/>
      <c r="AV52" s="1457"/>
      <c r="AW52" s="1457"/>
      <c r="AX52" s="1457"/>
      <c r="AY52" s="1457"/>
      <c r="AZ52" s="1098"/>
    </row>
    <row r="53" spans="3:52" ht="15" customHeight="1">
      <c r="C53" s="689"/>
      <c r="D53" s="689"/>
      <c r="E53" s="689"/>
      <c r="F53" s="689"/>
      <c r="G53" s="689"/>
      <c r="H53" s="689"/>
      <c r="I53" s="689"/>
      <c r="J53" s="689"/>
      <c r="K53" s="689"/>
      <c r="L53" s="689"/>
      <c r="M53" s="689"/>
      <c r="N53" s="719"/>
      <c r="O53" s="719"/>
      <c r="P53" s="719"/>
      <c r="Q53" s="719"/>
      <c r="R53" s="1449" t="s">
        <v>1241</v>
      </c>
      <c r="S53" s="1449"/>
      <c r="T53" s="1449"/>
      <c r="U53" s="1449"/>
      <c r="V53" s="1449"/>
      <c r="W53" s="1449"/>
      <c r="X53" s="1449"/>
      <c r="Y53" s="1449"/>
      <c r="Z53" s="1449"/>
      <c r="AA53" s="1452">
        <f>'Deterministic Output VicSup'!A3</f>
        <v>2308.3619178082195</v>
      </c>
      <c r="AB53" s="1452"/>
      <c r="AC53" s="1452"/>
      <c r="AD53" s="1452"/>
      <c r="AE53" s="720"/>
      <c r="AF53" s="719"/>
      <c r="AH53" s="1097"/>
      <c r="AI53" s="1097"/>
      <c r="AJ53" s="1457" t="str">
        <f>""&amp;IF('Age Pension additional calcs'!P39=0,"Cashflow remained unchanged. Target cashflow met "&amp;ROUND('Age Pension additional calcs'!P43*100,0)&amp;"% of the time",IF('Age Pension additional calcs'!P39=0,"",IF('Age Pension additional calcs'!P39&gt;0,"↑ Increased cashflow of ","↓ Decreased cashflow of "))&amp;""&amp;TEXT((IF('Age Pension additional calcs'!P40&lt;0,-'Age Pension additional calcs'!P40,'Age Pension additional calcs'!P40)),"$#,###")&amp;" ("&amp;TEXT((IF('Age Pension additional calcs'!P39&lt;0,-'Age Pension additional calcs'!P39,'Age Pension additional calcs'!P39)),"$#,###")&amp;" today's dollars). Met target cashflow "&amp;ROUND(('Age Pension additional calcs'!P43*100),0)&amp;"% of the time")</f>
        <v>Cashflow remained unchanged. Target cashflow met 100% of the time</v>
      </c>
      <c r="AK53" s="1457"/>
      <c r="AL53" s="1457"/>
      <c r="AM53" s="1457"/>
      <c r="AN53" s="1457"/>
      <c r="AO53" s="1457"/>
      <c r="AP53" s="1457"/>
      <c r="AQ53" s="1457"/>
      <c r="AR53" s="1457"/>
      <c r="AS53" s="1457"/>
      <c r="AT53" s="1457"/>
      <c r="AU53" s="1457"/>
      <c r="AV53" s="1457"/>
      <c r="AW53" s="1457"/>
      <c r="AX53" s="1457"/>
      <c r="AY53" s="1457"/>
      <c r="AZ53" s="1098"/>
    </row>
    <row r="54" spans="3:52" ht="15" customHeight="1">
      <c r="C54" s="689"/>
      <c r="D54" s="689"/>
      <c r="E54" s="689"/>
      <c r="F54" s="689"/>
      <c r="G54" s="689"/>
      <c r="H54" s="689"/>
      <c r="I54" s="689"/>
      <c r="J54" s="689"/>
      <c r="K54" s="689"/>
      <c r="L54" s="689"/>
      <c r="M54" s="689"/>
      <c r="N54" s="719"/>
      <c r="O54" s="719"/>
      <c r="P54" s="719"/>
      <c r="Q54" s="719"/>
      <c r="R54" s="1449" t="s">
        <v>609</v>
      </c>
      <c r="S54" s="1449"/>
      <c r="T54" s="1449"/>
      <c r="U54" s="1449"/>
      <c r="V54" s="1449"/>
      <c r="W54" s="1449"/>
      <c r="X54" s="1449"/>
      <c r="Y54" s="1449"/>
      <c r="Z54" s="1449"/>
      <c r="AA54" s="1445">
        <f>'Admin Settings'!J72</f>
        <v>0.3551497277676951</v>
      </c>
      <c r="AB54" s="1445"/>
      <c r="AC54" s="1445"/>
      <c r="AD54" s="1445"/>
      <c r="AE54" s="722"/>
      <c r="AF54" s="719"/>
      <c r="AH54" s="1097"/>
      <c r="AI54" s="1097"/>
      <c r="AJ54" s="1457"/>
      <c r="AK54" s="1457"/>
      <c r="AL54" s="1457"/>
      <c r="AM54" s="1457"/>
      <c r="AN54" s="1457"/>
      <c r="AO54" s="1457"/>
      <c r="AP54" s="1457"/>
      <c r="AQ54" s="1457"/>
      <c r="AR54" s="1457"/>
      <c r="AS54" s="1457"/>
      <c r="AT54" s="1457"/>
      <c r="AU54" s="1457"/>
      <c r="AV54" s="1457"/>
      <c r="AW54" s="1457"/>
      <c r="AX54" s="1457"/>
      <c r="AY54" s="1457"/>
      <c r="AZ54" s="1098"/>
    </row>
    <row r="55" spans="3:52" ht="15" customHeight="1">
      <c r="C55" s="689"/>
      <c r="D55" s="689"/>
      <c r="E55" s="689"/>
      <c r="F55" s="689"/>
      <c r="G55" s="689"/>
      <c r="H55" s="689"/>
      <c r="I55" s="689"/>
      <c r="J55" s="689"/>
      <c r="K55" s="689"/>
      <c r="L55" s="689"/>
      <c r="M55" s="689"/>
      <c r="N55" s="719"/>
      <c r="O55" s="719"/>
      <c r="P55" s="719"/>
      <c r="Q55" s="719"/>
      <c r="R55" s="1449" t="s">
        <v>610</v>
      </c>
      <c r="S55" s="1449"/>
      <c r="T55" s="1449"/>
      <c r="U55" s="1449"/>
      <c r="V55" s="1449"/>
      <c r="W55" s="1449"/>
      <c r="X55" s="1449"/>
      <c r="Y55" s="1449"/>
      <c r="Z55" s="1449"/>
      <c r="AA55" s="1446">
        <f>IF('Test Sheet'!AG21=0,"$0",'Test Sheet'!AG21/26)</f>
        <v>469.65000000000003</v>
      </c>
      <c r="AB55" s="1446"/>
      <c r="AC55" s="1446"/>
      <c r="AD55" s="1446"/>
      <c r="AE55" s="720"/>
      <c r="AF55" s="719"/>
      <c r="AH55" s="1097"/>
      <c r="AI55" s="1097"/>
      <c r="AJ55" s="1457"/>
      <c r="AK55" s="1457"/>
      <c r="AL55" s="1457"/>
      <c r="AM55" s="1457"/>
      <c r="AN55" s="1457"/>
      <c r="AO55" s="1457"/>
      <c r="AP55" s="1457"/>
      <c r="AQ55" s="1457"/>
      <c r="AR55" s="1457"/>
      <c r="AS55" s="1457"/>
      <c r="AT55" s="1457"/>
      <c r="AU55" s="1457"/>
      <c r="AV55" s="1457"/>
      <c r="AW55" s="1457"/>
      <c r="AX55" s="1457"/>
      <c r="AY55" s="1457"/>
      <c r="AZ55" s="1098"/>
    </row>
    <row r="56" spans="3:52" ht="15" customHeight="1">
      <c r="C56" s="689"/>
      <c r="D56" s="689"/>
      <c r="E56" s="689"/>
      <c r="F56" s="689"/>
      <c r="G56" s="689"/>
      <c r="H56" s="689"/>
      <c r="I56" s="689"/>
      <c r="J56" s="689"/>
      <c r="K56" s="689"/>
      <c r="L56" s="689"/>
      <c r="M56" s="689"/>
      <c r="N56" s="719"/>
      <c r="O56" s="719"/>
      <c r="P56" s="719"/>
      <c r="Q56" s="719"/>
      <c r="R56" s="1449" t="s">
        <v>611</v>
      </c>
      <c r="S56" s="1449"/>
      <c r="T56" s="1449"/>
      <c r="U56" s="1449"/>
      <c r="V56" s="1449"/>
      <c r="W56" s="1449"/>
      <c r="X56" s="1449"/>
      <c r="Y56" s="1449"/>
      <c r="Z56" s="1449"/>
      <c r="AA56" s="1452">
        <f>'Admin Settings'!F72</f>
        <v>34382.400000000001</v>
      </c>
      <c r="AB56" s="1452"/>
      <c r="AC56" s="1452"/>
      <c r="AD56" s="1452"/>
      <c r="AE56" s="720"/>
      <c r="AF56" s="719"/>
      <c r="AH56" s="721"/>
      <c r="AI56" s="721"/>
      <c r="AJ56" s="1457" t="str">
        <f>IF('Age Pension additional calcs'!P37=0,"‒ Total Age Pension benefits remained the same as the existing portfolio",""&amp;IF('Age Pension additional calcs'!P37&gt;0,"↑ Projected increase in Age Pension entitlements over 15 years of","↓ Decreases the Age Pension over 15 years by ")&amp;" "&amp;TEXT('Age Pension additional calcs'!P38,"$#,###")&amp;" ("&amp;TEXT(IF('Age Pension additional calcs'!P37&lt;0,-'Age Pension additional calcs'!P37,'Age Pension additional calcs'!P37),"$#,###")&amp;" today's dollars)")</f>
        <v>↑ Projected increase in Age Pension entitlements over 15 years of $20,470 ($17,319 today's dollars)</v>
      </c>
      <c r="AK56" s="1457"/>
      <c r="AL56" s="1457"/>
      <c r="AM56" s="1457"/>
      <c r="AN56" s="1457"/>
      <c r="AO56" s="1457"/>
      <c r="AP56" s="1457"/>
      <c r="AQ56" s="1457"/>
      <c r="AR56" s="1457"/>
      <c r="AS56" s="1457"/>
      <c r="AT56" s="1457"/>
      <c r="AU56" s="1457"/>
      <c r="AV56" s="1457"/>
      <c r="AW56" s="1457"/>
      <c r="AX56" s="1457"/>
      <c r="AY56" s="1457"/>
      <c r="AZ56" s="1098"/>
    </row>
    <row r="57" spans="3:52" ht="15" customHeight="1">
      <c r="C57" s="689"/>
      <c r="D57" s="689"/>
      <c r="E57" s="689"/>
      <c r="F57" s="689"/>
      <c r="G57" s="689"/>
      <c r="H57" s="689"/>
      <c r="I57" s="689"/>
      <c r="J57" s="689"/>
      <c r="K57" s="689"/>
      <c r="L57" s="689"/>
      <c r="M57" s="689"/>
      <c r="N57" s="719"/>
      <c r="O57" s="719"/>
      <c r="P57" s="719"/>
      <c r="Q57" s="719"/>
      <c r="R57" s="1449" t="s">
        <v>612</v>
      </c>
      <c r="S57" s="1449"/>
      <c r="T57" s="1449"/>
      <c r="U57" s="1449"/>
      <c r="V57" s="1449"/>
      <c r="W57" s="1449"/>
      <c r="X57" s="1449"/>
      <c r="Y57" s="1449"/>
      <c r="Z57" s="1449"/>
      <c r="AA57" s="1448" t="str">
        <f>'Age Pension Calculator'!AH30</f>
        <v>Assets Test</v>
      </c>
      <c r="AB57" s="1448"/>
      <c r="AC57" s="1448"/>
      <c r="AD57" s="1448"/>
      <c r="AE57" s="1448"/>
      <c r="AF57" s="719"/>
      <c r="AH57" s="721"/>
      <c r="AI57" s="721"/>
      <c r="AJ57" s="1457"/>
      <c r="AK57" s="1457"/>
      <c r="AL57" s="1457"/>
      <c r="AM57" s="1457"/>
      <c r="AN57" s="1457"/>
      <c r="AO57" s="1457"/>
      <c r="AP57" s="1457"/>
      <c r="AQ57" s="1457"/>
      <c r="AR57" s="1457"/>
      <c r="AS57" s="1457"/>
      <c r="AT57" s="1457"/>
      <c r="AU57" s="1457"/>
      <c r="AV57" s="1457"/>
      <c r="AW57" s="1457"/>
      <c r="AX57" s="1457"/>
      <c r="AY57" s="1457"/>
      <c r="AZ57" s="1098"/>
    </row>
    <row r="58" spans="3:52" ht="15" customHeight="1">
      <c r="C58" s="689"/>
      <c r="D58" s="689"/>
      <c r="E58" s="689"/>
      <c r="F58" s="689"/>
      <c r="G58" s="689"/>
      <c r="H58" s="689"/>
      <c r="I58" s="689"/>
      <c r="J58" s="689"/>
      <c r="K58" s="689"/>
      <c r="L58" s="689"/>
      <c r="M58" s="689"/>
      <c r="N58" s="719"/>
      <c r="O58" s="719"/>
      <c r="P58" s="719"/>
      <c r="Q58" s="719"/>
      <c r="R58" s="723"/>
      <c r="S58" s="723"/>
      <c r="T58" s="723"/>
      <c r="U58" s="723"/>
      <c r="V58" s="723"/>
      <c r="W58" s="723"/>
      <c r="X58" s="723"/>
      <c r="Y58" s="723"/>
      <c r="Z58" s="723"/>
      <c r="AA58" s="723"/>
      <c r="AB58" s="723"/>
      <c r="AC58" s="723"/>
      <c r="AD58" s="723"/>
      <c r="AE58" s="719"/>
      <c r="AF58" s="719"/>
      <c r="AH58" s="721"/>
      <c r="AI58" s="721"/>
      <c r="AJ58" s="1457"/>
      <c r="AK58" s="1457"/>
      <c r="AL58" s="1457"/>
      <c r="AM58" s="1457"/>
      <c r="AN58" s="1457"/>
      <c r="AO58" s="1457"/>
      <c r="AP58" s="1457"/>
      <c r="AQ58" s="1457"/>
      <c r="AR58" s="1457"/>
      <c r="AS58" s="1457"/>
      <c r="AT58" s="1457"/>
      <c r="AU58" s="1457"/>
      <c r="AV58" s="1457"/>
      <c r="AW58" s="1457"/>
      <c r="AX58" s="1457"/>
      <c r="AY58" s="1457"/>
      <c r="AZ58" s="1098"/>
    </row>
    <row r="59" spans="3:52" ht="15" customHeight="1">
      <c r="S59" s="1447" t="s">
        <v>897</v>
      </c>
      <c r="T59" s="1447"/>
      <c r="U59" s="1447"/>
      <c r="V59" s="1447"/>
      <c r="W59" s="1447"/>
      <c r="X59" s="1447"/>
      <c r="Y59" s="1447"/>
      <c r="Z59" s="1447"/>
      <c r="AA59" s="1447"/>
      <c r="AB59" s="1447"/>
      <c r="AC59" s="1447"/>
      <c r="AD59" s="1447"/>
      <c r="AE59" s="1447"/>
      <c r="AF59" s="1447"/>
      <c r="AG59" s="1447"/>
      <c r="AH59" s="1447"/>
      <c r="AI59" s="1447"/>
      <c r="AJ59" s="1447"/>
      <c r="AK59" s="1447"/>
      <c r="AL59" s="1447"/>
      <c r="AM59" s="1447"/>
      <c r="AN59" s="1447"/>
      <c r="AO59" s="1447"/>
      <c r="AP59" s="1447"/>
      <c r="AQ59" s="1447"/>
      <c r="AR59" s="1447"/>
      <c r="AS59" s="1447"/>
      <c r="AT59" s="1447"/>
      <c r="AU59" s="1447"/>
      <c r="AV59" s="1447"/>
      <c r="AW59" s="1447"/>
      <c r="AX59" s="1447"/>
      <c r="AY59" s="1447"/>
      <c r="AZ59" s="1447"/>
    </row>
    <row r="60" spans="3:52" ht="15" customHeight="1">
      <c r="S60" s="1447"/>
      <c r="T60" s="1447"/>
      <c r="U60" s="1447"/>
      <c r="V60" s="1447"/>
      <c r="W60" s="1447"/>
      <c r="X60" s="1447"/>
      <c r="Y60" s="1447"/>
      <c r="Z60" s="1447"/>
      <c r="AA60" s="1447"/>
      <c r="AB60" s="1447"/>
      <c r="AC60" s="1447"/>
      <c r="AD60" s="1447"/>
      <c r="AE60" s="1447"/>
      <c r="AF60" s="1447"/>
      <c r="AG60" s="1447"/>
      <c r="AH60" s="1447"/>
      <c r="AI60" s="1447"/>
      <c r="AJ60" s="1447"/>
      <c r="AK60" s="1447"/>
      <c r="AL60" s="1447"/>
      <c r="AM60" s="1447"/>
      <c r="AN60" s="1447"/>
      <c r="AO60" s="1447"/>
      <c r="AP60" s="1447"/>
      <c r="AQ60" s="1447"/>
      <c r="AR60" s="1447"/>
      <c r="AS60" s="1447"/>
      <c r="AT60" s="1447"/>
      <c r="AU60" s="1447"/>
      <c r="AV60" s="1447"/>
      <c r="AW60" s="1447"/>
      <c r="AX60" s="1447"/>
      <c r="AY60" s="1447"/>
      <c r="AZ60" s="1447"/>
    </row>
    <row r="61" spans="3:52" ht="15" customHeight="1">
      <c r="C61" s="711" t="s">
        <v>872</v>
      </c>
      <c r="AA61" s="692"/>
    </row>
    <row r="62" spans="3:52" ht="15" customHeight="1">
      <c r="C62" s="1460" t="s">
        <v>613</v>
      </c>
      <c r="D62" s="1460"/>
      <c r="E62" s="1460"/>
      <c r="F62" s="1460"/>
      <c r="G62" s="1460"/>
      <c r="H62" s="1460"/>
      <c r="I62" s="1460"/>
      <c r="J62" s="1460"/>
      <c r="K62" s="1460"/>
      <c r="L62" s="1460"/>
      <c r="M62" s="1460"/>
      <c r="N62" s="1460"/>
      <c r="O62" s="1460"/>
      <c r="AA62" s="692"/>
    </row>
    <row r="63" spans="3:52" ht="15" customHeight="1">
      <c r="C63" s="1460"/>
      <c r="D63" s="1460"/>
      <c r="E63" s="1460"/>
      <c r="F63" s="1460"/>
      <c r="G63" s="1460"/>
      <c r="H63" s="1460"/>
      <c r="I63" s="1460"/>
      <c r="J63" s="1460"/>
      <c r="K63" s="1460"/>
      <c r="L63" s="1460"/>
      <c r="M63" s="1460"/>
      <c r="N63" s="1460"/>
      <c r="O63" s="1460"/>
      <c r="AA63" s="692"/>
    </row>
    <row r="64" spans="3:52" ht="15" customHeight="1">
      <c r="C64" s="1460"/>
      <c r="D64" s="1460"/>
      <c r="E64" s="1460"/>
      <c r="F64" s="1460"/>
      <c r="G64" s="1460"/>
      <c r="H64" s="1460"/>
      <c r="I64" s="1460"/>
      <c r="J64" s="1460"/>
      <c r="K64" s="1460"/>
      <c r="L64" s="1460"/>
      <c r="M64" s="1460"/>
      <c r="N64" s="1460"/>
      <c r="O64" s="1460"/>
      <c r="AA64" s="692"/>
    </row>
    <row r="65" spans="3:52" ht="15" customHeight="1">
      <c r="C65" s="1460"/>
      <c r="D65" s="1460"/>
      <c r="E65" s="1460"/>
      <c r="F65" s="1460"/>
      <c r="G65" s="1460"/>
      <c r="H65" s="1460"/>
      <c r="I65" s="1460"/>
      <c r="J65" s="1460"/>
      <c r="K65" s="1460"/>
      <c r="L65" s="1460"/>
      <c r="M65" s="1460"/>
      <c r="N65" s="1460"/>
      <c r="O65" s="1460"/>
      <c r="AA65" s="692"/>
    </row>
    <row r="66" spans="3:52" ht="15" customHeight="1">
      <c r="C66" s="1463" t="str">
        <f ca="1">'Admin Settings'!Y86</f>
        <v>Person 1</v>
      </c>
      <c r="D66" s="1463"/>
      <c r="E66" s="1463"/>
      <c r="F66" s="1463"/>
      <c r="G66" s="1463"/>
      <c r="H66" s="724"/>
      <c r="I66" s="724"/>
      <c r="J66" s="724"/>
      <c r="K66" s="724"/>
      <c r="L66" s="724"/>
      <c r="M66" s="724"/>
      <c r="N66" s="724"/>
      <c r="AA66" s="692"/>
    </row>
    <row r="67" spans="3:52" ht="15" customHeight="1">
      <c r="C67" s="1438" t="s">
        <v>514</v>
      </c>
      <c r="D67" s="1438"/>
      <c r="E67" s="1438"/>
      <c r="F67" s="1438"/>
      <c r="G67" s="1438"/>
      <c r="H67" s="725" t="s">
        <v>520</v>
      </c>
      <c r="I67" s="1462">
        <f>'Admin Settings'!V86</f>
        <v>100000</v>
      </c>
      <c r="J67" s="1462"/>
      <c r="K67" s="1462"/>
      <c r="L67" s="1462"/>
      <c r="M67" s="1462"/>
      <c r="AA67" s="692"/>
    </row>
    <row r="68" spans="3:52" ht="15" customHeight="1">
      <c r="C68" s="1438" t="s">
        <v>195</v>
      </c>
      <c r="D68" s="1438"/>
      <c r="E68" s="1438"/>
      <c r="F68" s="1438"/>
      <c r="H68" s="726"/>
      <c r="I68" s="1462">
        <f ca="1">'Admin Settings'!X86</f>
        <v>5000.04</v>
      </c>
      <c r="J68" s="1462"/>
      <c r="K68" s="1462"/>
      <c r="L68" s="1462"/>
      <c r="AA68" s="692"/>
    </row>
    <row r="69" spans="3:52" ht="15" customHeight="1">
      <c r="C69" s="1438" t="s">
        <v>92</v>
      </c>
      <c r="D69" s="1438"/>
      <c r="E69" s="1438"/>
      <c r="F69" s="1438"/>
      <c r="G69" s="1438"/>
      <c r="H69" s="727"/>
      <c r="I69" s="1437" t="str">
        <f>O286</f>
        <v>Nil</v>
      </c>
      <c r="J69" s="1438"/>
      <c r="K69" s="1438"/>
      <c r="L69" s="1438"/>
      <c r="M69" s="1438"/>
      <c r="AA69" s="692"/>
    </row>
    <row r="70" spans="3:52" ht="15" customHeight="1">
      <c r="C70" s="1438" t="s">
        <v>655</v>
      </c>
      <c r="D70" s="1438"/>
      <c r="E70" s="1438"/>
      <c r="F70" s="1438"/>
      <c r="G70" s="1438"/>
      <c r="H70" s="1438"/>
      <c r="I70" s="1440">
        <f ca="1">'Admin Settings'!K86</f>
        <v>0.75</v>
      </c>
      <c r="J70" s="1438"/>
      <c r="K70" s="1438"/>
      <c r="L70" s="1438"/>
      <c r="AA70" s="692"/>
    </row>
    <row r="71" spans="3:52" ht="15" customHeight="1">
      <c r="C71" s="725" t="s">
        <v>660</v>
      </c>
      <c r="AA71" s="692"/>
    </row>
    <row r="72" spans="3:52" ht="15" customHeight="1">
      <c r="C72" s="1414" t="str">
        <f ca="1">'Admin Settings'!Y87</f>
        <v>Person 1</v>
      </c>
      <c r="D72" s="1414"/>
      <c r="E72" s="1414"/>
      <c r="F72" s="1414"/>
      <c r="G72" s="1414"/>
      <c r="H72" s="1119"/>
      <c r="I72" s="1119"/>
      <c r="J72" s="1119"/>
      <c r="K72" s="1119"/>
      <c r="AA72" s="692"/>
    </row>
    <row r="73" spans="3:52" ht="15" customHeight="1">
      <c r="C73" s="1438" t="s">
        <v>514</v>
      </c>
      <c r="D73" s="1438"/>
      <c r="E73" s="1438"/>
      <c r="F73" s="1438"/>
      <c r="H73" s="725" t="s">
        <v>520</v>
      </c>
      <c r="I73" s="1462">
        <f>'Admin Settings'!V87</f>
        <v>75000</v>
      </c>
      <c r="J73" s="1462"/>
      <c r="K73" s="1462"/>
      <c r="L73" s="1462"/>
      <c r="M73" s="1462"/>
      <c r="AA73" s="692"/>
    </row>
    <row r="74" spans="3:52" ht="15" customHeight="1">
      <c r="C74" s="1438" t="s">
        <v>195</v>
      </c>
      <c r="D74" s="1438"/>
      <c r="E74" s="1438"/>
      <c r="F74" s="1438"/>
      <c r="G74" s="1438"/>
      <c r="H74" s="726"/>
      <c r="I74" s="1462">
        <f ca="1">'Admin Settings'!X87</f>
        <v>3750.03</v>
      </c>
      <c r="J74" s="1462"/>
      <c r="K74" s="1462"/>
      <c r="L74" s="1462"/>
      <c r="M74" s="1462"/>
      <c r="AA74" s="692"/>
    </row>
    <row r="75" spans="3:52" ht="15" customHeight="1">
      <c r="C75" s="1438" t="s">
        <v>92</v>
      </c>
      <c r="D75" s="1438"/>
      <c r="E75" s="1438"/>
      <c r="F75" s="1438"/>
      <c r="G75" s="1438"/>
      <c r="H75" s="727"/>
      <c r="I75" s="1437" t="str">
        <f>V286</f>
        <v>Nil</v>
      </c>
      <c r="J75" s="1438"/>
      <c r="K75" s="1438"/>
      <c r="L75" s="1438"/>
      <c r="AA75" s="692"/>
    </row>
    <row r="76" spans="3:52" ht="15" customHeight="1">
      <c r="C76" s="1438" t="s">
        <v>655</v>
      </c>
      <c r="D76" s="1438"/>
      <c r="E76" s="1438"/>
      <c r="F76" s="1438"/>
      <c r="G76" s="1438"/>
      <c r="H76" s="1438"/>
      <c r="I76" s="1440">
        <f ca="1">'Admin Settings'!K87</f>
        <v>0.75</v>
      </c>
      <c r="J76" s="1440"/>
      <c r="K76" s="1440"/>
      <c r="L76" s="1440"/>
      <c r="AA76" s="692"/>
    </row>
    <row r="77" spans="3:52" ht="15" customHeight="1">
      <c r="C77" s="1106" t="s">
        <v>660</v>
      </c>
      <c r="Z77" s="692"/>
      <c r="AA77" s="692"/>
    </row>
    <row r="78" spans="3:52" ht="15" customHeight="1">
      <c r="C78" s="714"/>
      <c r="D78" s="714"/>
      <c r="E78" s="714"/>
      <c r="F78" s="714"/>
      <c r="G78" s="714"/>
      <c r="H78" s="714"/>
      <c r="I78" s="714"/>
      <c r="J78" s="714"/>
      <c r="K78" s="714"/>
      <c r="L78" s="714"/>
      <c r="M78" s="714"/>
      <c r="N78" s="714"/>
      <c r="O78" s="714"/>
      <c r="P78" s="714"/>
      <c r="Q78" s="714"/>
      <c r="R78" s="714"/>
      <c r="S78" s="714"/>
      <c r="T78" s="714"/>
      <c r="U78" s="714"/>
      <c r="V78" s="714"/>
      <c r="W78" s="714"/>
      <c r="X78" s="714"/>
      <c r="Y78" s="714"/>
      <c r="Z78" s="715"/>
      <c r="AA78" s="715"/>
      <c r="AB78" s="714"/>
      <c r="AC78" s="714"/>
      <c r="AD78" s="714"/>
      <c r="AE78" s="714"/>
      <c r="AF78" s="714"/>
      <c r="AG78" s="714"/>
      <c r="AH78" s="714"/>
      <c r="AI78" s="714"/>
      <c r="AJ78" s="714"/>
      <c r="AK78" s="714"/>
      <c r="AL78" s="714"/>
      <c r="AM78" s="714"/>
      <c r="AN78" s="714"/>
      <c r="AO78" s="714"/>
      <c r="AP78" s="714"/>
      <c r="AQ78" s="714"/>
      <c r="AR78" s="714"/>
      <c r="AS78" s="714"/>
      <c r="AT78" s="716" t="str">
        <f>AT42</f>
        <v/>
      </c>
      <c r="AU78" s="717"/>
      <c r="AV78" s="1443" t="s">
        <v>559</v>
      </c>
      <c r="AW78" s="1443"/>
      <c r="AX78" s="1443"/>
      <c r="AY78" s="1443"/>
      <c r="AZ78" s="1443"/>
    </row>
    <row r="79" spans="3:52" ht="15" customHeight="1">
      <c r="AA79" s="692"/>
    </row>
    <row r="80" spans="3:52" ht="15" customHeight="1">
      <c r="Z80" s="692"/>
      <c r="AA80" s="692"/>
    </row>
    <row r="81" spans="3:52" ht="26.25">
      <c r="C81" s="693" t="s">
        <v>570</v>
      </c>
      <c r="Z81" s="692"/>
      <c r="AA81" s="692"/>
    </row>
    <row r="82" spans="3:52" ht="15" customHeight="1">
      <c r="Z82" s="692"/>
      <c r="AA82" s="692"/>
    </row>
    <row r="83" spans="3:52" ht="22.5" customHeight="1">
      <c r="C83" s="694" t="s">
        <v>614</v>
      </c>
      <c r="D83" s="695"/>
      <c r="E83" s="695"/>
      <c r="F83" s="695"/>
      <c r="G83" s="695"/>
      <c r="H83" s="695"/>
      <c r="I83" s="695"/>
      <c r="J83" s="695"/>
      <c r="K83" s="695"/>
      <c r="L83" s="695"/>
      <c r="M83" s="695"/>
      <c r="N83" s="695"/>
      <c r="O83" s="695"/>
      <c r="P83" s="695"/>
      <c r="Q83" s="695"/>
      <c r="R83" s="695"/>
      <c r="S83" s="695"/>
      <c r="T83" s="695"/>
      <c r="U83" s="695"/>
      <c r="V83" s="695"/>
      <c r="W83" s="695"/>
      <c r="X83" s="695"/>
      <c r="Y83" s="695"/>
      <c r="Z83" s="696"/>
      <c r="AA83" s="696"/>
      <c r="AB83" s="695"/>
      <c r="AC83" s="695"/>
      <c r="AD83" s="695"/>
      <c r="AE83" s="695"/>
      <c r="AF83" s="695"/>
      <c r="AG83" s="695"/>
      <c r="AH83" s="695"/>
      <c r="AI83" s="695"/>
      <c r="AJ83" s="695"/>
      <c r="AK83" s="695"/>
      <c r="AL83" s="695"/>
      <c r="AM83" s="695"/>
      <c r="AN83" s="695"/>
      <c r="AO83" s="695"/>
      <c r="AP83" s="695"/>
      <c r="AQ83" s="695"/>
      <c r="AR83" s="695"/>
      <c r="AS83" s="718"/>
      <c r="AT83" s="1444"/>
      <c r="AU83" s="1444"/>
      <c r="AV83" s="1444"/>
      <c r="AW83" s="1444"/>
      <c r="AX83" s="1444"/>
      <c r="AY83" s="1444"/>
      <c r="AZ83" s="1444"/>
    </row>
    <row r="84" spans="3:52" ht="15" customHeight="1">
      <c r="Z84" s="692"/>
      <c r="AA84" s="692"/>
      <c r="AB84" s="692"/>
      <c r="AC84" s="692"/>
      <c r="AD84" s="692"/>
    </row>
    <row r="85" spans="3:52" ht="15" customHeight="1">
      <c r="C85" s="713" t="s">
        <v>615</v>
      </c>
      <c r="D85" s="728"/>
      <c r="E85" s="728"/>
      <c r="F85" s="728"/>
      <c r="G85" s="728"/>
      <c r="H85" s="728"/>
      <c r="I85" s="728"/>
      <c r="J85" s="728"/>
      <c r="K85" s="728"/>
      <c r="L85" s="728"/>
      <c r="M85" s="728"/>
      <c r="N85" s="728"/>
      <c r="O85" s="728"/>
      <c r="P85" s="728"/>
      <c r="Q85" s="728"/>
      <c r="R85" s="728"/>
      <c r="S85" s="728"/>
      <c r="T85" s="728"/>
      <c r="U85" s="728"/>
      <c r="V85" s="728"/>
      <c r="W85" s="728"/>
      <c r="X85" s="728"/>
      <c r="Y85" s="728"/>
      <c r="Z85" s="728"/>
      <c r="AA85" s="728"/>
      <c r="AB85" s="728"/>
      <c r="AC85" s="728"/>
      <c r="AD85" s="728"/>
      <c r="AE85" s="728"/>
      <c r="AF85" s="728"/>
      <c r="AG85" s="728"/>
      <c r="AH85" s="728"/>
      <c r="AI85" s="728"/>
      <c r="AJ85" s="728"/>
      <c r="AK85" s="728"/>
      <c r="AL85" s="728"/>
      <c r="AM85" s="728"/>
      <c r="AN85" s="728"/>
      <c r="AO85" s="728"/>
      <c r="AP85" s="728"/>
      <c r="AQ85" s="728"/>
      <c r="AR85" s="728"/>
      <c r="AS85" s="728"/>
      <c r="AT85" s="728"/>
      <c r="AU85" s="728"/>
      <c r="AV85" s="728"/>
      <c r="AW85" s="728"/>
      <c r="AX85" s="728"/>
      <c r="AY85" s="728"/>
      <c r="AZ85" s="728"/>
    </row>
    <row r="86" spans="3:52" ht="15" customHeight="1">
      <c r="C86" s="728"/>
      <c r="D86" s="728"/>
      <c r="E86" s="728"/>
      <c r="F86" s="728"/>
      <c r="G86" s="728"/>
      <c r="H86" s="728"/>
      <c r="I86" s="728"/>
      <c r="J86" s="728"/>
      <c r="K86" s="728"/>
      <c r="L86" s="728"/>
      <c r="M86" s="728"/>
      <c r="N86" s="728"/>
      <c r="O86" s="728"/>
      <c r="P86" s="728"/>
      <c r="Q86" s="728"/>
      <c r="R86" s="728"/>
      <c r="S86" s="728"/>
      <c r="T86" s="728"/>
      <c r="U86" s="728"/>
      <c r="V86" s="728"/>
      <c r="W86" s="728"/>
      <c r="X86" s="728"/>
      <c r="Y86" s="728"/>
      <c r="Z86" s="728"/>
      <c r="AA86" s="728"/>
      <c r="AB86" s="728"/>
      <c r="AC86" s="728"/>
      <c r="AD86" s="728"/>
      <c r="AE86" s="728"/>
      <c r="AF86" s="728"/>
      <c r="AG86" s="728"/>
      <c r="AH86" s="728"/>
      <c r="AI86" s="728"/>
      <c r="AJ86" s="728"/>
      <c r="AK86" s="728"/>
      <c r="AL86" s="728"/>
      <c r="AM86" s="728"/>
      <c r="AN86" s="728"/>
      <c r="AO86" s="728"/>
      <c r="AP86" s="728"/>
      <c r="AQ86" s="728"/>
      <c r="AR86" s="728"/>
      <c r="AS86" s="728"/>
      <c r="AT86" s="728"/>
      <c r="AU86" s="728"/>
      <c r="AV86" s="728"/>
      <c r="AW86" s="728"/>
      <c r="AX86" s="728"/>
      <c r="AY86" s="728"/>
      <c r="AZ86" s="728"/>
    </row>
    <row r="87" spans="3:52" ht="15" customHeight="1">
      <c r="C87" s="1456"/>
      <c r="D87" s="1456"/>
      <c r="E87" s="1456"/>
      <c r="F87" s="1456"/>
      <c r="G87" s="1456"/>
      <c r="H87" s="1421" t="s">
        <v>616</v>
      </c>
      <c r="I87" s="1421"/>
      <c r="J87" s="1421"/>
      <c r="K87" s="1421" t="s">
        <v>617</v>
      </c>
      <c r="L87" s="1421"/>
      <c r="M87" s="1421"/>
      <c r="N87" s="1421" t="s">
        <v>618</v>
      </c>
      <c r="O87" s="1421"/>
      <c r="P87" s="1421"/>
      <c r="Q87" s="1421" t="s">
        <v>619</v>
      </c>
      <c r="R87" s="1421"/>
      <c r="S87" s="1421"/>
      <c r="T87" s="1421" t="s">
        <v>620</v>
      </c>
      <c r="U87" s="1421"/>
      <c r="V87" s="1421"/>
      <c r="W87" s="1421" t="s">
        <v>621</v>
      </c>
      <c r="X87" s="1421"/>
      <c r="Y87" s="1421"/>
      <c r="Z87" s="1421" t="s">
        <v>622</v>
      </c>
      <c r="AA87" s="1421"/>
      <c r="AB87" s="1421"/>
      <c r="AC87" s="1421" t="s">
        <v>623</v>
      </c>
      <c r="AD87" s="1421"/>
      <c r="AE87" s="1421"/>
      <c r="AF87" s="1421" t="s">
        <v>624</v>
      </c>
      <c r="AG87" s="1421"/>
      <c r="AH87" s="1421"/>
      <c r="AI87" s="1421" t="s">
        <v>625</v>
      </c>
      <c r="AJ87" s="1421"/>
      <c r="AK87" s="1421"/>
      <c r="AL87" s="1421" t="s">
        <v>626</v>
      </c>
      <c r="AM87" s="1421"/>
      <c r="AN87" s="1421"/>
      <c r="AO87" s="1421" t="s">
        <v>627</v>
      </c>
      <c r="AP87" s="1421"/>
      <c r="AQ87" s="1421"/>
      <c r="AR87" s="1421" t="s">
        <v>628</v>
      </c>
      <c r="AS87" s="1421"/>
      <c r="AT87" s="1421"/>
      <c r="AU87" s="1421" t="s">
        <v>629</v>
      </c>
      <c r="AV87" s="1421"/>
      <c r="AW87" s="1421"/>
      <c r="AX87" s="1458" t="s">
        <v>630</v>
      </c>
      <c r="AY87" s="1458"/>
      <c r="AZ87" s="1459"/>
    </row>
    <row r="88" spans="3:52" ht="15" customHeight="1">
      <c r="C88" s="1470" t="s">
        <v>652</v>
      </c>
      <c r="D88" s="1470"/>
      <c r="E88" s="1470"/>
      <c r="F88" s="1470"/>
      <c r="G88" s="1470"/>
      <c r="H88" s="1423">
        <f>'Age Pension Calculator'!AS59</f>
        <v>2308.3619178082195</v>
      </c>
      <c r="I88" s="1423"/>
      <c r="J88" s="1423"/>
      <c r="K88" s="1423">
        <f>'Age Pension Calculator'!AT59</f>
        <v>1910.5560975609756</v>
      </c>
      <c r="L88" s="1423"/>
      <c r="M88" s="1423"/>
      <c r="N88" s="1423">
        <f>'Age Pension Calculator'!AU59</f>
        <v>5534.8400951814401</v>
      </c>
      <c r="O88" s="1423"/>
      <c r="P88" s="1423"/>
      <c r="Q88" s="1423">
        <f>'Age Pension Calculator'!AV59</f>
        <v>10085.043995298969</v>
      </c>
      <c r="R88" s="1423"/>
      <c r="S88" s="1423"/>
      <c r="T88" s="1423">
        <f>'Age Pension Calculator'!AW59</f>
        <v>14362.559995413627</v>
      </c>
      <c r="U88" s="1423"/>
      <c r="V88" s="1423"/>
      <c r="W88" s="1423">
        <f>'Age Pension Calculator'!AX59</f>
        <v>18367.380483330366</v>
      </c>
      <c r="X88" s="1423"/>
      <c r="Y88" s="1423"/>
      <c r="Z88" s="1423">
        <f>'Age Pension Calculator'!AY59</f>
        <v>22099.498032517433</v>
      </c>
      <c r="AA88" s="1423"/>
      <c r="AB88" s="1423"/>
      <c r="AC88" s="1423">
        <f>'Age Pension Calculator'!AZ59</f>
        <v>25597.905397577983</v>
      </c>
      <c r="AD88" s="1423"/>
      <c r="AE88" s="1423"/>
      <c r="AF88" s="1423">
        <f>'Age Pension Calculator'!BA59</f>
        <v>28862.595509832179</v>
      </c>
      <c r="AG88" s="1423"/>
      <c r="AH88" s="1423"/>
      <c r="AI88" s="1423">
        <f>'Age Pension Calculator'!BB59</f>
        <v>31893.561473007001</v>
      </c>
      <c r="AJ88" s="1423"/>
      <c r="AK88" s="1423"/>
      <c r="AL88" s="1423">
        <f>'Age Pension Calculator'!BC59</f>
        <v>32832.084506937113</v>
      </c>
      <c r="AM88" s="1423"/>
      <c r="AN88" s="1423"/>
      <c r="AO88" s="1423">
        <f>'Age Pension Calculator'!BD59</f>
        <v>33382.352933597183</v>
      </c>
      <c r="AP88" s="1423"/>
      <c r="AQ88" s="1423"/>
      <c r="AR88" s="1423">
        <f>'Age Pension Calculator'!BE59</f>
        <v>33926.88920350944</v>
      </c>
      <c r="AS88" s="1423"/>
      <c r="AT88" s="1423"/>
      <c r="AU88" s="1423">
        <f>'Age Pension Calculator'!BF59</f>
        <v>34231.051711060463</v>
      </c>
      <c r="AV88" s="1423"/>
      <c r="AW88" s="1423"/>
      <c r="AX88" s="1423">
        <f>'Age Pension Calculator'!BG59</f>
        <v>34221.299230302888</v>
      </c>
      <c r="AY88" s="1423"/>
      <c r="AZ88" s="1423"/>
    </row>
    <row r="89" spans="3:52" ht="15" customHeight="1">
      <c r="C89" s="1468"/>
      <c r="D89" s="1468"/>
      <c r="E89" s="1468"/>
      <c r="F89" s="1468"/>
      <c r="G89" s="1468"/>
      <c r="H89" s="1417"/>
      <c r="I89" s="1417"/>
      <c r="J89" s="1417"/>
      <c r="K89" s="1417"/>
      <c r="L89" s="1417"/>
      <c r="M89" s="1417"/>
      <c r="N89" s="1417"/>
      <c r="O89" s="1417"/>
      <c r="P89" s="1417"/>
      <c r="Q89" s="1417"/>
      <c r="R89" s="1417"/>
      <c r="S89" s="1417"/>
      <c r="T89" s="1417"/>
      <c r="U89" s="1417"/>
      <c r="V89" s="1417"/>
      <c r="W89" s="1417"/>
      <c r="X89" s="1417"/>
      <c r="Y89" s="1417"/>
      <c r="Z89" s="1417"/>
      <c r="AA89" s="1417"/>
      <c r="AB89" s="1417"/>
      <c r="AC89" s="1417"/>
      <c r="AD89" s="1417"/>
      <c r="AE89" s="1417"/>
      <c r="AF89" s="1417"/>
      <c r="AG89" s="1417"/>
      <c r="AH89" s="1417"/>
      <c r="AI89" s="1417"/>
      <c r="AJ89" s="1417"/>
      <c r="AK89" s="1417"/>
      <c r="AL89" s="1417"/>
      <c r="AM89" s="1417"/>
      <c r="AN89" s="1417"/>
      <c r="AO89" s="1417"/>
      <c r="AP89" s="1417"/>
      <c r="AQ89" s="1417"/>
      <c r="AR89" s="1417"/>
      <c r="AS89" s="1417"/>
      <c r="AT89" s="1417"/>
      <c r="AU89" s="1417"/>
      <c r="AV89" s="1417"/>
      <c r="AW89" s="1417"/>
      <c r="AX89" s="1417"/>
      <c r="AY89" s="1417"/>
      <c r="AZ89" s="1417"/>
    </row>
    <row r="90" spans="3:52" ht="15" customHeight="1">
      <c r="C90" s="1469"/>
      <c r="D90" s="1469"/>
      <c r="E90" s="1469"/>
      <c r="F90" s="1469"/>
      <c r="G90" s="1469"/>
      <c r="H90" s="1418"/>
      <c r="I90" s="1418"/>
      <c r="J90" s="1418"/>
      <c r="K90" s="1418"/>
      <c r="L90" s="1418"/>
      <c r="M90" s="1418"/>
      <c r="N90" s="1418"/>
      <c r="O90" s="1418"/>
      <c r="P90" s="1418"/>
      <c r="Q90" s="1418"/>
      <c r="R90" s="1418"/>
      <c r="S90" s="1418"/>
      <c r="T90" s="1418"/>
      <c r="U90" s="1418"/>
      <c r="V90" s="1418"/>
      <c r="W90" s="1418"/>
      <c r="X90" s="1418"/>
      <c r="Y90" s="1418"/>
      <c r="Z90" s="1418"/>
      <c r="AA90" s="1418"/>
      <c r="AB90" s="1418"/>
      <c r="AC90" s="1418"/>
      <c r="AD90" s="1418"/>
      <c r="AE90" s="1418"/>
      <c r="AF90" s="1418"/>
      <c r="AG90" s="1418"/>
      <c r="AH90" s="1418"/>
      <c r="AI90" s="1418"/>
      <c r="AJ90" s="1418"/>
      <c r="AK90" s="1418"/>
      <c r="AL90" s="1418"/>
      <c r="AM90" s="1418"/>
      <c r="AN90" s="1418"/>
      <c r="AO90" s="1418"/>
      <c r="AP90" s="1418"/>
      <c r="AQ90" s="1418"/>
      <c r="AR90" s="1418"/>
      <c r="AS90" s="1418"/>
      <c r="AT90" s="1418"/>
      <c r="AU90" s="1418"/>
      <c r="AV90" s="1418"/>
      <c r="AW90" s="1418"/>
      <c r="AX90" s="1418"/>
      <c r="AY90" s="1418"/>
      <c r="AZ90" s="1418"/>
    </row>
    <row r="91" spans="3:52" ht="15" customHeight="1">
      <c r="C91" s="1467" t="s">
        <v>653</v>
      </c>
      <c r="D91" s="1467"/>
      <c r="E91" s="1467"/>
      <c r="F91" s="1467"/>
      <c r="G91" s="1467"/>
      <c r="H91" s="1416">
        <f>'Age Pension Calculator'!AS61</f>
        <v>2308.3619178082195</v>
      </c>
      <c r="I91" s="1416"/>
      <c r="J91" s="1416"/>
      <c r="K91" s="1416">
        <f>'Age Pension Calculator'!AT61</f>
        <v>1910.5560975609756</v>
      </c>
      <c r="L91" s="1416"/>
      <c r="M91" s="1416"/>
      <c r="N91" s="1416">
        <f>'Age Pension Calculator'!AU61</f>
        <v>6470.8400951814401</v>
      </c>
      <c r="O91" s="1416"/>
      <c r="P91" s="1416"/>
      <c r="Q91" s="1416">
        <f>'Age Pension Calculator'!AV61</f>
        <v>11411.043995298969</v>
      </c>
      <c r="R91" s="1416"/>
      <c r="S91" s="1416"/>
      <c r="T91" s="1416">
        <f>'Age Pension Calculator'!AW61</f>
        <v>16039.559995413627</v>
      </c>
      <c r="U91" s="1416"/>
      <c r="V91" s="1416"/>
      <c r="W91" s="1416">
        <f>'Age Pension Calculator'!AX61</f>
        <v>20356.380483330366</v>
      </c>
      <c r="X91" s="1416"/>
      <c r="Y91" s="1416"/>
      <c r="Z91" s="1416">
        <f>'Age Pension Calculator'!AY61</f>
        <v>24244.498032517433</v>
      </c>
      <c r="AA91" s="1416"/>
      <c r="AB91" s="1416"/>
      <c r="AC91" s="1416">
        <f>'Age Pension Calculator'!AZ61</f>
        <v>27859.905397577983</v>
      </c>
      <c r="AD91" s="1416"/>
      <c r="AE91" s="1416"/>
      <c r="AF91" s="1416">
        <f>'Age Pension Calculator'!BA61</f>
        <v>31202.595509832179</v>
      </c>
      <c r="AG91" s="1416"/>
      <c r="AH91" s="1416"/>
      <c r="AI91" s="1416">
        <f>'Age Pension Calculator'!BB61</f>
        <v>33924.685354543428</v>
      </c>
      <c r="AJ91" s="1416"/>
      <c r="AK91" s="1416"/>
      <c r="AL91" s="1416">
        <f>'Age Pension Calculator'!BC61</f>
        <v>34261.796559031223</v>
      </c>
      <c r="AM91" s="1416"/>
      <c r="AN91" s="1416"/>
      <c r="AO91" s="1416">
        <f>'Age Pension Calculator'!BD61</f>
        <v>34251.294203932899</v>
      </c>
      <c r="AP91" s="1416"/>
      <c r="AQ91" s="1416"/>
      <c r="AR91" s="1416">
        <f>'Age Pension Calculator'!BE61</f>
        <v>34241.048003836971</v>
      </c>
      <c r="AS91" s="1416"/>
      <c r="AT91" s="1416"/>
      <c r="AU91" s="1416">
        <f>'Age Pension Calculator'!BF61</f>
        <v>34231.051711060463</v>
      </c>
      <c r="AV91" s="1416"/>
      <c r="AW91" s="1416"/>
      <c r="AX91" s="1416">
        <f>'Age Pension Calculator'!BG61</f>
        <v>34221.299230302888</v>
      </c>
      <c r="AY91" s="1416"/>
      <c r="AZ91" s="1416"/>
    </row>
    <row r="92" spans="3:52" ht="15" customHeight="1">
      <c r="C92" s="1468"/>
      <c r="D92" s="1468"/>
      <c r="E92" s="1468"/>
      <c r="F92" s="1468"/>
      <c r="G92" s="1468"/>
      <c r="H92" s="1417"/>
      <c r="I92" s="1417"/>
      <c r="J92" s="1417"/>
      <c r="K92" s="1417"/>
      <c r="L92" s="1417"/>
      <c r="M92" s="1417"/>
      <c r="N92" s="1417"/>
      <c r="O92" s="1417"/>
      <c r="P92" s="1417"/>
      <c r="Q92" s="1417"/>
      <c r="R92" s="1417"/>
      <c r="S92" s="1417"/>
      <c r="T92" s="1417"/>
      <c r="U92" s="1417"/>
      <c r="V92" s="1417"/>
      <c r="W92" s="1417"/>
      <c r="X92" s="1417"/>
      <c r="Y92" s="1417"/>
      <c r="Z92" s="1417"/>
      <c r="AA92" s="1417"/>
      <c r="AB92" s="1417"/>
      <c r="AC92" s="1417"/>
      <c r="AD92" s="1417"/>
      <c r="AE92" s="1417"/>
      <c r="AF92" s="1417"/>
      <c r="AG92" s="1417"/>
      <c r="AH92" s="1417"/>
      <c r="AI92" s="1417"/>
      <c r="AJ92" s="1417"/>
      <c r="AK92" s="1417"/>
      <c r="AL92" s="1417"/>
      <c r="AM92" s="1417"/>
      <c r="AN92" s="1417"/>
      <c r="AO92" s="1417"/>
      <c r="AP92" s="1417"/>
      <c r="AQ92" s="1417"/>
      <c r="AR92" s="1417"/>
      <c r="AS92" s="1417"/>
      <c r="AT92" s="1417"/>
      <c r="AU92" s="1417"/>
      <c r="AV92" s="1417"/>
      <c r="AW92" s="1417"/>
      <c r="AX92" s="1417"/>
      <c r="AY92" s="1417"/>
      <c r="AZ92" s="1417"/>
    </row>
    <row r="93" spans="3:52" ht="15" customHeight="1">
      <c r="C93" s="1469"/>
      <c r="D93" s="1469"/>
      <c r="E93" s="1469"/>
      <c r="F93" s="1469"/>
      <c r="G93" s="1469"/>
      <c r="H93" s="1418"/>
      <c r="I93" s="1418"/>
      <c r="J93" s="1418"/>
      <c r="K93" s="1418"/>
      <c r="L93" s="1418"/>
      <c r="M93" s="1418"/>
      <c r="N93" s="1418"/>
      <c r="O93" s="1418"/>
      <c r="P93" s="1418"/>
      <c r="Q93" s="1418"/>
      <c r="R93" s="1418"/>
      <c r="S93" s="1418"/>
      <c r="T93" s="1418"/>
      <c r="U93" s="1418"/>
      <c r="V93" s="1418"/>
      <c r="W93" s="1418"/>
      <c r="X93" s="1418"/>
      <c r="Y93" s="1418"/>
      <c r="Z93" s="1418"/>
      <c r="AA93" s="1418"/>
      <c r="AB93" s="1418"/>
      <c r="AC93" s="1418"/>
      <c r="AD93" s="1418"/>
      <c r="AE93" s="1418"/>
      <c r="AF93" s="1418"/>
      <c r="AG93" s="1418"/>
      <c r="AH93" s="1418"/>
      <c r="AI93" s="1418"/>
      <c r="AJ93" s="1418"/>
      <c r="AK93" s="1418"/>
      <c r="AL93" s="1418"/>
      <c r="AM93" s="1418"/>
      <c r="AN93" s="1418"/>
      <c r="AO93" s="1418"/>
      <c r="AP93" s="1418"/>
      <c r="AQ93" s="1418"/>
      <c r="AR93" s="1418"/>
      <c r="AS93" s="1418"/>
      <c r="AT93" s="1418"/>
      <c r="AU93" s="1418"/>
      <c r="AV93" s="1418"/>
      <c r="AW93" s="1418"/>
      <c r="AX93" s="1418"/>
      <c r="AY93" s="1418"/>
      <c r="AZ93" s="1418"/>
    </row>
    <row r="94" spans="3:52" ht="15" customHeight="1">
      <c r="C94" s="1467" t="s">
        <v>1225</v>
      </c>
      <c r="D94" s="1467"/>
      <c r="E94" s="1467"/>
      <c r="F94" s="1467"/>
      <c r="G94" s="1467"/>
      <c r="H94" s="1417">
        <f>'Age Pension Calculator'!AS65</f>
        <v>0</v>
      </c>
      <c r="I94" s="1417"/>
      <c r="J94" s="1417"/>
      <c r="K94" s="1417">
        <f>'Age Pension Calculator'!AT65</f>
        <v>0</v>
      </c>
      <c r="L94" s="1417"/>
      <c r="M94" s="1417"/>
      <c r="N94" s="1417">
        <f>'Age Pension Calculator'!AU65</f>
        <v>936</v>
      </c>
      <c r="O94" s="1417"/>
      <c r="P94" s="1417"/>
      <c r="Q94" s="1417">
        <f>'Age Pension Calculator'!AV65</f>
        <v>1326</v>
      </c>
      <c r="R94" s="1417"/>
      <c r="S94" s="1417"/>
      <c r="T94" s="1417">
        <f>'Age Pension Calculator'!AW65</f>
        <v>1677</v>
      </c>
      <c r="U94" s="1417"/>
      <c r="V94" s="1417"/>
      <c r="W94" s="1417">
        <f>'Age Pension Calculator'!AX65</f>
        <v>1989</v>
      </c>
      <c r="X94" s="1417"/>
      <c r="Y94" s="1417"/>
      <c r="Z94" s="1417">
        <f>'Age Pension Calculator'!AY65</f>
        <v>2145</v>
      </c>
      <c r="AA94" s="1417"/>
      <c r="AB94" s="1417"/>
      <c r="AC94" s="1417">
        <f>'Age Pension Calculator'!AZ65</f>
        <v>2262</v>
      </c>
      <c r="AD94" s="1417"/>
      <c r="AE94" s="1417"/>
      <c r="AF94" s="1417">
        <f>'Age Pension Calculator'!BA65</f>
        <v>2340</v>
      </c>
      <c r="AG94" s="1417"/>
      <c r="AH94" s="1417"/>
      <c r="AI94" s="1417">
        <f>'Age Pension Calculator'!BB65</f>
        <v>2031.1238815364268</v>
      </c>
      <c r="AJ94" s="1417"/>
      <c r="AK94" s="1417"/>
      <c r="AL94" s="1417">
        <f>'Age Pension Calculator'!BC65</f>
        <v>1429.7120520941098</v>
      </c>
      <c r="AM94" s="1417"/>
      <c r="AN94" s="1417"/>
      <c r="AO94" s="1417">
        <f>'Age Pension Calculator'!BD65</f>
        <v>868.94127033571567</v>
      </c>
      <c r="AP94" s="1417"/>
      <c r="AQ94" s="1417"/>
      <c r="AR94" s="1417">
        <f>'Age Pension Calculator'!BE65</f>
        <v>314.15880032753194</v>
      </c>
      <c r="AS94" s="1417"/>
      <c r="AT94" s="1417"/>
      <c r="AU94" s="1417">
        <f>'Age Pension Calculator'!BF65</f>
        <v>0</v>
      </c>
      <c r="AV94" s="1417"/>
      <c r="AW94" s="1417"/>
      <c r="AX94" s="1417">
        <f>'Age Pension Calculator'!BG65</f>
        <v>0</v>
      </c>
      <c r="AY94" s="1417"/>
      <c r="AZ94" s="1417"/>
    </row>
    <row r="95" spans="3:52" ht="15" customHeight="1">
      <c r="C95" s="1468"/>
      <c r="D95" s="1468"/>
      <c r="E95" s="1468"/>
      <c r="F95" s="1468"/>
      <c r="G95" s="1468"/>
      <c r="H95" s="1417"/>
      <c r="I95" s="1417"/>
      <c r="J95" s="1417"/>
      <c r="K95" s="1417"/>
      <c r="L95" s="1417"/>
      <c r="M95" s="1417"/>
      <c r="N95" s="1417"/>
      <c r="O95" s="1417"/>
      <c r="P95" s="1417"/>
      <c r="Q95" s="1417"/>
      <c r="R95" s="1417"/>
      <c r="S95" s="1417"/>
      <c r="T95" s="1417"/>
      <c r="U95" s="1417"/>
      <c r="V95" s="1417"/>
      <c r="W95" s="1417"/>
      <c r="X95" s="1417"/>
      <c r="Y95" s="1417"/>
      <c r="Z95" s="1417"/>
      <c r="AA95" s="1417"/>
      <c r="AB95" s="1417"/>
      <c r="AC95" s="1417"/>
      <c r="AD95" s="1417"/>
      <c r="AE95" s="1417"/>
      <c r="AF95" s="1417"/>
      <c r="AG95" s="1417"/>
      <c r="AH95" s="1417"/>
      <c r="AI95" s="1417"/>
      <c r="AJ95" s="1417"/>
      <c r="AK95" s="1417"/>
      <c r="AL95" s="1417"/>
      <c r="AM95" s="1417"/>
      <c r="AN95" s="1417"/>
      <c r="AO95" s="1417"/>
      <c r="AP95" s="1417"/>
      <c r="AQ95" s="1417"/>
      <c r="AR95" s="1417"/>
      <c r="AS95" s="1417"/>
      <c r="AT95" s="1417"/>
      <c r="AU95" s="1417"/>
      <c r="AV95" s="1417"/>
      <c r="AW95" s="1417"/>
      <c r="AX95" s="1417"/>
      <c r="AY95" s="1417"/>
      <c r="AZ95" s="1417"/>
    </row>
    <row r="96" spans="3:52" ht="15" customHeight="1">
      <c r="C96" s="1468"/>
      <c r="D96" s="1468"/>
      <c r="E96" s="1468"/>
      <c r="F96" s="1468"/>
      <c r="G96" s="1468"/>
      <c r="H96" s="1419">
        <f>'Age Pension Calculator'!AS67</f>
        <v>0</v>
      </c>
      <c r="I96" s="1419"/>
      <c r="J96" s="1419"/>
      <c r="K96" s="1419">
        <f>'Age Pension Calculator'!AT67</f>
        <v>0</v>
      </c>
      <c r="L96" s="1419"/>
      <c r="M96" s="1419"/>
      <c r="N96" s="1419">
        <f>'Age Pension Calculator'!AU67</f>
        <v>0.16911057662078971</v>
      </c>
      <c r="O96" s="1419"/>
      <c r="P96" s="1419"/>
      <c r="Q96" s="1419">
        <f>'Age Pension Calculator'!AV67</f>
        <v>0.13148182602060041</v>
      </c>
      <c r="R96" s="1419"/>
      <c r="S96" s="1419"/>
      <c r="T96" s="1419">
        <f>'Age Pension Calculator'!AW67</f>
        <v>0.11676191434782614</v>
      </c>
      <c r="U96" s="1419"/>
      <c r="V96" s="1419"/>
      <c r="W96" s="1419">
        <f>'Age Pension Calculator'!AX67</f>
        <v>0.10828980222874739</v>
      </c>
      <c r="X96" s="1419"/>
      <c r="Y96" s="1419"/>
      <c r="Z96" s="1419">
        <f>'Age Pension Calculator'!AY67</f>
        <v>9.7061028121264312E-2</v>
      </c>
      <c r="AA96" s="1419"/>
      <c r="AB96" s="1419"/>
      <c r="AC96" s="1419">
        <f>'Age Pension Calculator'!AZ67</f>
        <v>8.8366605191611713E-2</v>
      </c>
      <c r="AD96" s="1419"/>
      <c r="AE96" s="1419"/>
      <c r="AF96" s="1419">
        <f>'Age Pension Calculator'!BA67</f>
        <v>8.107378974988122E-2</v>
      </c>
      <c r="AG96" s="1419"/>
      <c r="AH96" s="1419"/>
      <c r="AI96" s="1419">
        <f>'Age Pension Calculator'!BB67</f>
        <v>6.3684448764226631E-2</v>
      </c>
      <c r="AJ96" s="1419"/>
      <c r="AK96" s="1419"/>
      <c r="AL96" s="1419">
        <f>'Age Pension Calculator'!BC67</f>
        <v>4.3546185798590549E-2</v>
      </c>
      <c r="AM96" s="1419"/>
      <c r="AN96" s="1419"/>
      <c r="AO96" s="1419">
        <f>'Age Pension Calculator'!BD67</f>
        <v>2.6029958764865323E-2</v>
      </c>
      <c r="AP96" s="1419"/>
      <c r="AQ96" s="1419"/>
      <c r="AR96" s="1419">
        <f>'Age Pension Calculator'!BE67</f>
        <v>9.2598763901712202E-3</v>
      </c>
      <c r="AS96" s="1419"/>
      <c r="AT96" s="1419"/>
      <c r="AU96" s="1419">
        <f>'Age Pension Calculator'!BF67</f>
        <v>0</v>
      </c>
      <c r="AV96" s="1419"/>
      <c r="AW96" s="1419"/>
      <c r="AX96" s="1419">
        <f>'Age Pension Calculator'!BG67</f>
        <v>0</v>
      </c>
      <c r="AY96" s="1419"/>
      <c r="AZ96" s="1419"/>
    </row>
    <row r="97" spans="3:52" ht="15" customHeight="1">
      <c r="C97" s="1469"/>
      <c r="D97" s="1469"/>
      <c r="E97" s="1469"/>
      <c r="F97" s="1469"/>
      <c r="G97" s="1469"/>
      <c r="H97" s="1420"/>
      <c r="I97" s="1420"/>
      <c r="J97" s="1420"/>
      <c r="K97" s="1420"/>
      <c r="L97" s="1420"/>
      <c r="M97" s="1420"/>
      <c r="N97" s="1420"/>
      <c r="O97" s="1420"/>
      <c r="P97" s="1420"/>
      <c r="Q97" s="1420"/>
      <c r="R97" s="1420"/>
      <c r="S97" s="1420"/>
      <c r="T97" s="1420"/>
      <c r="U97" s="1420"/>
      <c r="V97" s="1420"/>
      <c r="W97" s="1420"/>
      <c r="X97" s="1420"/>
      <c r="Y97" s="1420"/>
      <c r="Z97" s="1420"/>
      <c r="AA97" s="1420"/>
      <c r="AB97" s="1420"/>
      <c r="AC97" s="1420"/>
      <c r="AD97" s="1420"/>
      <c r="AE97" s="1420"/>
      <c r="AF97" s="1420"/>
      <c r="AG97" s="1420"/>
      <c r="AH97" s="1420"/>
      <c r="AI97" s="1420"/>
      <c r="AJ97" s="1420"/>
      <c r="AK97" s="1420"/>
      <c r="AL97" s="1420"/>
      <c r="AM97" s="1420"/>
      <c r="AN97" s="1420"/>
      <c r="AO97" s="1420"/>
      <c r="AP97" s="1420"/>
      <c r="AQ97" s="1420"/>
      <c r="AR97" s="1420"/>
      <c r="AS97" s="1420"/>
      <c r="AT97" s="1420"/>
      <c r="AU97" s="1420"/>
      <c r="AV97" s="1420"/>
      <c r="AW97" s="1420"/>
      <c r="AX97" s="1420"/>
      <c r="AY97" s="1420"/>
      <c r="AZ97" s="1420"/>
    </row>
    <row r="98" spans="3:52" ht="15" customHeight="1">
      <c r="C98" s="1467" t="s">
        <v>648</v>
      </c>
      <c r="D98" s="1467"/>
      <c r="E98" s="1467"/>
      <c r="F98" s="1467"/>
      <c r="G98" s="1467"/>
      <c r="H98" s="1416">
        <f>'Age Pension Calculator'!AS69</f>
        <v>8750.07</v>
      </c>
      <c r="I98" s="1416"/>
      <c r="J98" s="1416"/>
      <c r="K98" s="1416">
        <f>'Age Pension Calculator'!AT69</f>
        <v>8536.6536585365866</v>
      </c>
      <c r="L98" s="1416"/>
      <c r="M98" s="1416"/>
      <c r="N98" s="1416">
        <f>'Age Pension Calculator'!AU69</f>
        <v>9264.4425936942298</v>
      </c>
      <c r="O98" s="1416"/>
      <c r="P98" s="1416"/>
      <c r="Q98" s="1416">
        <f>'Age Pension Calculator'!AV69</f>
        <v>9451.3098475065653</v>
      </c>
      <c r="R98" s="1416"/>
      <c r="S98" s="1416"/>
      <c r="T98" s="1416">
        <f>'Age Pension Calculator'!AW69</f>
        <v>9604.1315585429911</v>
      </c>
      <c r="U98" s="1416"/>
      <c r="V98" s="1416"/>
      <c r="W98" s="1416">
        <f>'Age Pension Calculator'!AX69</f>
        <v>9722.7868863834046</v>
      </c>
      <c r="X98" s="1416"/>
      <c r="Y98" s="1416"/>
      <c r="Z98" s="1416">
        <f>'Age Pension Calculator'!AY69</f>
        <v>9690.1579379350296</v>
      </c>
      <c r="AA98" s="1416"/>
      <c r="AB98" s="1416"/>
      <c r="AC98" s="1416">
        <f>'Age Pension Calculator'!AZ69</f>
        <v>9623.1296955463695</v>
      </c>
      <c r="AD98" s="1416"/>
      <c r="AE98" s="1416"/>
      <c r="AF98" s="1416">
        <f>'Age Pension Calculator'!BA69</f>
        <v>9521.5899468745083</v>
      </c>
      <c r="AG98" s="1416"/>
      <c r="AH98" s="1416"/>
      <c r="AI98" s="1416">
        <f>'Age Pension Calculator'!BB69</f>
        <v>9037.5530979993619</v>
      </c>
      <c r="AJ98" s="1416"/>
      <c r="AK98" s="1416"/>
      <c r="AL98" s="1416">
        <f>'Age Pension Calculator'!BC69</f>
        <v>8265.2527510823384</v>
      </c>
      <c r="AM98" s="1416"/>
      <c r="AN98" s="1416"/>
      <c r="AO98" s="1416">
        <f>'Age Pension Calculator'!BD69</f>
        <v>7537.7614644705736</v>
      </c>
      <c r="AP98" s="1416"/>
      <c r="AQ98" s="1416"/>
      <c r="AR98" s="1416">
        <f>'Age Pension Calculator'!BE69</f>
        <v>6820.3248433859299</v>
      </c>
      <c r="AS98" s="1416"/>
      <c r="AT98" s="1416"/>
      <c r="AU98" s="1416">
        <f>'Age Pension Calculator'!BF69</f>
        <v>6347.4790663984368</v>
      </c>
      <c r="AV98" s="1416"/>
      <c r="AW98" s="1416"/>
      <c r="AX98" s="1416">
        <f>'Age Pension Calculator'!BG69</f>
        <v>6192.6625038033526</v>
      </c>
      <c r="AY98" s="1416"/>
      <c r="AZ98" s="1416"/>
    </row>
    <row r="99" spans="3:52" ht="15" customHeight="1">
      <c r="C99" s="1468"/>
      <c r="D99" s="1468"/>
      <c r="E99" s="1468"/>
      <c r="F99" s="1468"/>
      <c r="G99" s="1468"/>
      <c r="H99" s="1417"/>
      <c r="I99" s="1417"/>
      <c r="J99" s="1417"/>
      <c r="K99" s="1417"/>
      <c r="L99" s="1417"/>
      <c r="M99" s="1417"/>
      <c r="N99" s="1417"/>
      <c r="O99" s="1417"/>
      <c r="P99" s="1417"/>
      <c r="Q99" s="1417"/>
      <c r="R99" s="1417"/>
      <c r="S99" s="1417"/>
      <c r="T99" s="1417"/>
      <c r="U99" s="1417"/>
      <c r="V99" s="1417"/>
      <c r="W99" s="1417"/>
      <c r="X99" s="1417"/>
      <c r="Y99" s="1417"/>
      <c r="Z99" s="1417"/>
      <c r="AA99" s="1417"/>
      <c r="AB99" s="1417"/>
      <c r="AC99" s="1417"/>
      <c r="AD99" s="1417"/>
      <c r="AE99" s="1417"/>
      <c r="AF99" s="1417"/>
      <c r="AG99" s="1417"/>
      <c r="AH99" s="1417"/>
      <c r="AI99" s="1417"/>
      <c r="AJ99" s="1417"/>
      <c r="AK99" s="1417"/>
      <c r="AL99" s="1417"/>
      <c r="AM99" s="1417"/>
      <c r="AN99" s="1417"/>
      <c r="AO99" s="1417"/>
      <c r="AP99" s="1417"/>
      <c r="AQ99" s="1417"/>
      <c r="AR99" s="1417"/>
      <c r="AS99" s="1417"/>
      <c r="AT99" s="1417"/>
      <c r="AU99" s="1417"/>
      <c r="AV99" s="1417"/>
      <c r="AW99" s="1417"/>
      <c r="AX99" s="1417"/>
      <c r="AY99" s="1417"/>
      <c r="AZ99" s="1417"/>
    </row>
    <row r="100" spans="3:52" ht="15" customHeight="1">
      <c r="C100" s="1469"/>
      <c r="D100" s="1469"/>
      <c r="E100" s="1469"/>
      <c r="F100" s="1469"/>
      <c r="G100" s="1469"/>
      <c r="H100" s="1418"/>
      <c r="I100" s="1418"/>
      <c r="J100" s="1418"/>
      <c r="K100" s="1418"/>
      <c r="L100" s="1418"/>
      <c r="M100" s="1418"/>
      <c r="N100" s="1418"/>
      <c r="O100" s="1418"/>
      <c r="P100" s="1418"/>
      <c r="Q100" s="1418"/>
      <c r="R100" s="1418"/>
      <c r="S100" s="1418"/>
      <c r="T100" s="1418"/>
      <c r="U100" s="1418"/>
      <c r="V100" s="1418"/>
      <c r="W100" s="1418"/>
      <c r="X100" s="1418"/>
      <c r="Y100" s="1418"/>
      <c r="Z100" s="1418"/>
      <c r="AA100" s="1418"/>
      <c r="AB100" s="1418"/>
      <c r="AC100" s="1418"/>
      <c r="AD100" s="1418"/>
      <c r="AE100" s="1418"/>
      <c r="AF100" s="1418"/>
      <c r="AG100" s="1418"/>
      <c r="AH100" s="1418"/>
      <c r="AI100" s="1418"/>
      <c r="AJ100" s="1418"/>
      <c r="AK100" s="1418"/>
      <c r="AL100" s="1418"/>
      <c r="AM100" s="1418"/>
      <c r="AN100" s="1418"/>
      <c r="AO100" s="1418"/>
      <c r="AP100" s="1418"/>
      <c r="AQ100" s="1418"/>
      <c r="AR100" s="1418"/>
      <c r="AS100" s="1418"/>
      <c r="AT100" s="1418"/>
      <c r="AU100" s="1418"/>
      <c r="AV100" s="1418"/>
      <c r="AW100" s="1418"/>
      <c r="AX100" s="1418"/>
      <c r="AY100" s="1418"/>
      <c r="AZ100" s="1418"/>
    </row>
    <row r="101" spans="3:52" ht="15" customHeight="1">
      <c r="C101" s="1467" t="s">
        <v>649</v>
      </c>
      <c r="D101" s="1467"/>
      <c r="E101" s="1467"/>
      <c r="F101" s="1467"/>
      <c r="G101" s="1467"/>
      <c r="H101" s="1416">
        <f>'Age Pension Calculator'!AS72</f>
        <v>8750.07</v>
      </c>
      <c r="I101" s="1416"/>
      <c r="J101" s="1416"/>
      <c r="K101" s="1416">
        <f>'Age Pension Calculator'!AT72</f>
        <v>8750.07</v>
      </c>
      <c r="L101" s="1416"/>
      <c r="M101" s="1416"/>
      <c r="N101" s="1416">
        <f>'Age Pension Calculator'!AU72</f>
        <v>9733.4549999999999</v>
      </c>
      <c r="O101" s="1416"/>
      <c r="P101" s="1416"/>
      <c r="Q101" s="1416">
        <f>'Age Pension Calculator'!AV72</f>
        <v>10178.026968749999</v>
      </c>
      <c r="R101" s="1416"/>
      <c r="S101" s="1416"/>
      <c r="T101" s="1416">
        <f>'Age Pension Calculator'!AW72</f>
        <v>10601.164217578123</v>
      </c>
      <c r="U101" s="1416"/>
      <c r="V101" s="1416"/>
      <c r="W101" s="1416">
        <f>'Age Pension Calculator'!AX72</f>
        <v>11000.440935439448</v>
      </c>
      <c r="X101" s="1416"/>
      <c r="Y101" s="1416"/>
      <c r="Z101" s="1416">
        <f>'Age Pension Calculator'!AY72</f>
        <v>11237.612382066645</v>
      </c>
      <c r="AA101" s="1416"/>
      <c r="AB101" s="1416"/>
      <c r="AC101" s="1416">
        <f>'Age Pension Calculator'!AZ72</f>
        <v>11438.877174797493</v>
      </c>
      <c r="AD101" s="1416"/>
      <c r="AE101" s="1416"/>
      <c r="AF101" s="1416">
        <f>'Age Pension Calculator'!BA72</f>
        <v>11601.132780173204</v>
      </c>
      <c r="AG101" s="1416"/>
      <c r="AH101" s="1416"/>
      <c r="AI101" s="1416">
        <f>'Age Pension Calculator'!BB72</f>
        <v>11286.665403027208</v>
      </c>
      <c r="AJ101" s="1416"/>
      <c r="AK101" s="1416"/>
      <c r="AL101" s="1416">
        <f>'Age Pension Calculator'!BC72</f>
        <v>10580.222300536921</v>
      </c>
      <c r="AM101" s="1416"/>
      <c r="AN101" s="1416"/>
      <c r="AO101" s="1416">
        <f>'Age Pension Calculator'!BD72</f>
        <v>9890.1962472203704</v>
      </c>
      <c r="AP101" s="1416"/>
      <c r="AQ101" s="1416"/>
      <c r="AR101" s="1416">
        <f>'Age Pension Calculator'!BE72</f>
        <v>9172.5786595991158</v>
      </c>
      <c r="AS101" s="1416"/>
      <c r="AT101" s="1416"/>
      <c r="AU101" s="1416">
        <f>'Age Pension Calculator'!BF72</f>
        <v>8750.0699999999943</v>
      </c>
      <c r="AV101" s="1416"/>
      <c r="AW101" s="1416"/>
      <c r="AX101" s="1416">
        <f>'Age Pension Calculator'!BG72</f>
        <v>8750.0699999999924</v>
      </c>
      <c r="AY101" s="1416"/>
      <c r="AZ101" s="1416"/>
    </row>
    <row r="102" spans="3:52" ht="15" customHeight="1">
      <c r="C102" s="1468"/>
      <c r="D102" s="1468"/>
      <c r="E102" s="1468"/>
      <c r="F102" s="1468"/>
      <c r="G102" s="1468"/>
      <c r="H102" s="1417"/>
      <c r="I102" s="1417"/>
      <c r="J102" s="1417"/>
      <c r="K102" s="1417"/>
      <c r="L102" s="1417"/>
      <c r="M102" s="1417"/>
      <c r="N102" s="1417"/>
      <c r="O102" s="1417"/>
      <c r="P102" s="1417"/>
      <c r="Q102" s="1417"/>
      <c r="R102" s="1417"/>
      <c r="S102" s="1417"/>
      <c r="T102" s="1417"/>
      <c r="U102" s="1417"/>
      <c r="V102" s="1417"/>
      <c r="W102" s="1417"/>
      <c r="X102" s="1417"/>
      <c r="Y102" s="1417"/>
      <c r="Z102" s="1417"/>
      <c r="AA102" s="1417"/>
      <c r="AB102" s="1417"/>
      <c r="AC102" s="1417"/>
      <c r="AD102" s="1417"/>
      <c r="AE102" s="1417"/>
      <c r="AF102" s="1417"/>
      <c r="AG102" s="1417"/>
      <c r="AH102" s="1417"/>
      <c r="AI102" s="1417"/>
      <c r="AJ102" s="1417"/>
      <c r="AK102" s="1417"/>
      <c r="AL102" s="1417"/>
      <c r="AM102" s="1417"/>
      <c r="AN102" s="1417"/>
      <c r="AO102" s="1417"/>
      <c r="AP102" s="1417"/>
      <c r="AQ102" s="1417"/>
      <c r="AR102" s="1417"/>
      <c r="AS102" s="1417"/>
      <c r="AT102" s="1417"/>
      <c r="AU102" s="1417"/>
      <c r="AV102" s="1417"/>
      <c r="AW102" s="1417"/>
      <c r="AX102" s="1417"/>
      <c r="AY102" s="1417"/>
      <c r="AZ102" s="1417"/>
    </row>
    <row r="103" spans="3:52" ht="15" customHeight="1">
      <c r="C103" s="1471"/>
      <c r="D103" s="1471"/>
      <c r="E103" s="1471"/>
      <c r="F103" s="1471"/>
      <c r="G103" s="1471"/>
      <c r="H103" s="1454"/>
      <c r="I103" s="1454"/>
      <c r="J103" s="1454"/>
      <c r="K103" s="1454"/>
      <c r="L103" s="1454"/>
      <c r="M103" s="1454"/>
      <c r="N103" s="1454"/>
      <c r="O103" s="1454"/>
      <c r="P103" s="1454"/>
      <c r="Q103" s="1454"/>
      <c r="R103" s="1454"/>
      <c r="S103" s="1454"/>
      <c r="T103" s="1454"/>
      <c r="U103" s="1454"/>
      <c r="V103" s="1454"/>
      <c r="W103" s="1454"/>
      <c r="X103" s="1454"/>
      <c r="Y103" s="1454"/>
      <c r="Z103" s="1454"/>
      <c r="AA103" s="1454"/>
      <c r="AB103" s="1454"/>
      <c r="AC103" s="1454"/>
      <c r="AD103" s="1454"/>
      <c r="AE103" s="1454"/>
      <c r="AF103" s="1454"/>
      <c r="AG103" s="1454"/>
      <c r="AH103" s="1454"/>
      <c r="AI103" s="1454"/>
      <c r="AJ103" s="1454"/>
      <c r="AK103" s="1454"/>
      <c r="AL103" s="1454"/>
      <c r="AM103" s="1454"/>
      <c r="AN103" s="1454"/>
      <c r="AO103" s="1454"/>
      <c r="AP103" s="1454"/>
      <c r="AQ103" s="1454"/>
      <c r="AR103" s="1454"/>
      <c r="AS103" s="1454"/>
      <c r="AT103" s="1454"/>
      <c r="AU103" s="1454"/>
      <c r="AV103" s="1454"/>
      <c r="AW103" s="1454"/>
      <c r="AX103" s="1454"/>
      <c r="AY103" s="1454"/>
      <c r="AZ103" s="1454"/>
    </row>
    <row r="104" spans="3:52" ht="15" customHeight="1">
      <c r="C104" s="1468" t="s">
        <v>1223</v>
      </c>
      <c r="D104" s="1468"/>
      <c r="E104" s="1468"/>
      <c r="F104" s="1468"/>
      <c r="G104" s="1468"/>
      <c r="H104" s="1419">
        <f>'Age Pension Calculator'!AS74</f>
        <v>5.00004E-2</v>
      </c>
      <c r="I104" s="1419"/>
      <c r="J104" s="1419"/>
      <c r="K104" s="1419">
        <f>'Age Pension Calculator'!AT74</f>
        <v>5.00004E-2</v>
      </c>
      <c r="L104" s="1419"/>
      <c r="M104" s="1419"/>
      <c r="N104" s="1419">
        <f>'Age Pension Calculator'!AU74</f>
        <v>5.5619742857142856E-2</v>
      </c>
      <c r="O104" s="1419"/>
      <c r="P104" s="1419"/>
      <c r="Q104" s="1419">
        <f>'Age Pension Calculator'!AV74</f>
        <v>5.8160154107142849E-2</v>
      </c>
      <c r="R104" s="1419"/>
      <c r="S104" s="1419"/>
      <c r="T104" s="1419">
        <f>'Age Pension Calculator'!AW74</f>
        <v>6.0578081243303564E-2</v>
      </c>
      <c r="U104" s="1419"/>
      <c r="V104" s="1419"/>
      <c r="W104" s="1419">
        <f>'Age Pension Calculator'!AX74</f>
        <v>6.2859662488225415E-2</v>
      </c>
      <c r="X104" s="1419"/>
      <c r="Y104" s="1419"/>
      <c r="Z104" s="1419">
        <f>'Age Pension Calculator'!AY74</f>
        <v>6.4214927897523685E-2</v>
      </c>
      <c r="AA104" s="1419"/>
      <c r="AB104" s="1419"/>
      <c r="AC104" s="1419">
        <f>'Age Pension Calculator'!AZ74</f>
        <v>6.5365012427414243E-2</v>
      </c>
      <c r="AD104" s="1419"/>
      <c r="AE104" s="1419"/>
      <c r="AF104" s="1419">
        <f>'Age Pension Calculator'!BA74</f>
        <v>6.6292187315275447E-2</v>
      </c>
      <c r="AG104" s="1419"/>
      <c r="AH104" s="1419"/>
      <c r="AI104" s="1419">
        <f>'Age Pension Calculator'!BB74</f>
        <v>6.4495230874441187E-2</v>
      </c>
      <c r="AJ104" s="1419"/>
      <c r="AK104" s="1419"/>
      <c r="AL104" s="1419">
        <f>'Age Pension Calculator'!BC74</f>
        <v>6.0458413145925267E-2</v>
      </c>
      <c r="AM104" s="1419"/>
      <c r="AN104" s="1419"/>
      <c r="AO104" s="1419">
        <f>'Age Pension Calculator'!BD74</f>
        <v>5.6515407126973546E-2</v>
      </c>
      <c r="AP104" s="1419"/>
      <c r="AQ104" s="1419"/>
      <c r="AR104" s="1419">
        <f>'Age Pension Calculator'!BE74</f>
        <v>5.2414735197709235E-2</v>
      </c>
      <c r="AS104" s="1419"/>
      <c r="AT104" s="1419"/>
      <c r="AU104" s="1419">
        <f>'Age Pension Calculator'!BF74</f>
        <v>5.0000399999999966E-2</v>
      </c>
      <c r="AV104" s="1419"/>
      <c r="AW104" s="1419"/>
      <c r="AX104" s="1419">
        <f>'Age Pension Calculator'!BG74</f>
        <v>5.0000399999999959E-2</v>
      </c>
      <c r="AY104" s="1419"/>
      <c r="AZ104" s="1419"/>
    </row>
    <row r="105" spans="3:52" ht="15" customHeight="1">
      <c r="C105" s="1468"/>
      <c r="D105" s="1468"/>
      <c r="E105" s="1468"/>
      <c r="F105" s="1468"/>
      <c r="G105" s="1468"/>
      <c r="H105" s="1419"/>
      <c r="I105" s="1419"/>
      <c r="J105" s="1419"/>
      <c r="K105" s="1419"/>
      <c r="L105" s="1419"/>
      <c r="M105" s="1419"/>
      <c r="N105" s="1419"/>
      <c r="O105" s="1419"/>
      <c r="P105" s="1419"/>
      <c r="Q105" s="1419"/>
      <c r="R105" s="1419"/>
      <c r="S105" s="1419"/>
      <c r="T105" s="1419"/>
      <c r="U105" s="1419"/>
      <c r="V105" s="1419"/>
      <c r="W105" s="1419"/>
      <c r="X105" s="1419"/>
      <c r="Y105" s="1419"/>
      <c r="Z105" s="1419"/>
      <c r="AA105" s="1419"/>
      <c r="AB105" s="1419"/>
      <c r="AC105" s="1419"/>
      <c r="AD105" s="1419"/>
      <c r="AE105" s="1419"/>
      <c r="AF105" s="1419"/>
      <c r="AG105" s="1419"/>
      <c r="AH105" s="1419"/>
      <c r="AI105" s="1419"/>
      <c r="AJ105" s="1419"/>
      <c r="AK105" s="1419"/>
      <c r="AL105" s="1419"/>
      <c r="AM105" s="1419"/>
      <c r="AN105" s="1419"/>
      <c r="AO105" s="1419"/>
      <c r="AP105" s="1419"/>
      <c r="AQ105" s="1419"/>
      <c r="AR105" s="1419"/>
      <c r="AS105" s="1419"/>
      <c r="AT105" s="1419"/>
      <c r="AU105" s="1419"/>
      <c r="AV105" s="1419"/>
      <c r="AW105" s="1419"/>
      <c r="AX105" s="1419"/>
      <c r="AY105" s="1419"/>
      <c r="AZ105" s="1419"/>
    </row>
    <row r="106" spans="3:52" ht="15" customHeight="1">
      <c r="C106" s="1469"/>
      <c r="D106" s="1469"/>
      <c r="E106" s="1469"/>
      <c r="F106" s="1469"/>
      <c r="G106" s="1469"/>
      <c r="H106" s="1420"/>
      <c r="I106" s="1420"/>
      <c r="J106" s="1420"/>
      <c r="K106" s="1420"/>
      <c r="L106" s="1420"/>
      <c r="M106" s="1420"/>
      <c r="N106" s="1420"/>
      <c r="O106" s="1420"/>
      <c r="P106" s="1420"/>
      <c r="Q106" s="1420"/>
      <c r="R106" s="1420"/>
      <c r="S106" s="1420"/>
      <c r="T106" s="1420"/>
      <c r="U106" s="1420"/>
      <c r="V106" s="1420"/>
      <c r="W106" s="1420"/>
      <c r="X106" s="1420"/>
      <c r="Y106" s="1420"/>
      <c r="Z106" s="1420"/>
      <c r="AA106" s="1420"/>
      <c r="AB106" s="1420"/>
      <c r="AC106" s="1420"/>
      <c r="AD106" s="1420"/>
      <c r="AE106" s="1420"/>
      <c r="AF106" s="1420"/>
      <c r="AG106" s="1420"/>
      <c r="AH106" s="1420"/>
      <c r="AI106" s="1420"/>
      <c r="AJ106" s="1420"/>
      <c r="AK106" s="1420"/>
      <c r="AL106" s="1420"/>
      <c r="AM106" s="1420"/>
      <c r="AN106" s="1420"/>
      <c r="AO106" s="1420"/>
      <c r="AP106" s="1420"/>
      <c r="AQ106" s="1420"/>
      <c r="AR106" s="1420"/>
      <c r="AS106" s="1420"/>
      <c r="AT106" s="1420"/>
      <c r="AU106" s="1420"/>
      <c r="AV106" s="1420"/>
      <c r="AW106" s="1420"/>
      <c r="AX106" s="1420"/>
      <c r="AY106" s="1420"/>
      <c r="AZ106" s="1420"/>
    </row>
    <row r="107" spans="3:52" ht="15" customHeight="1">
      <c r="C107" s="728"/>
      <c r="D107" s="728"/>
      <c r="E107" s="728"/>
      <c r="F107" s="728"/>
      <c r="G107" s="728"/>
      <c r="H107" s="728"/>
      <c r="I107" s="728"/>
      <c r="J107" s="728"/>
      <c r="K107" s="728"/>
      <c r="L107" s="728"/>
      <c r="M107" s="728"/>
      <c r="N107" s="728"/>
      <c r="O107" s="728"/>
      <c r="P107" s="728"/>
      <c r="Q107" s="728"/>
      <c r="R107" s="728"/>
      <c r="S107" s="728"/>
      <c r="T107" s="728"/>
      <c r="U107" s="728"/>
      <c r="V107" s="728"/>
      <c r="W107" s="728"/>
      <c r="X107" s="728"/>
      <c r="Y107" s="728"/>
      <c r="Z107" s="729"/>
      <c r="AA107" s="692"/>
      <c r="AB107" s="728"/>
      <c r="AC107" s="728"/>
      <c r="AD107" s="728"/>
      <c r="AE107" s="728"/>
      <c r="AF107" s="728"/>
      <c r="AG107" s="728"/>
      <c r="AH107" s="728"/>
      <c r="AI107" s="728"/>
      <c r="AJ107" s="728"/>
      <c r="AK107" s="728"/>
      <c r="AL107" s="728"/>
      <c r="AM107" s="728"/>
      <c r="AN107" s="728"/>
      <c r="AO107" s="728"/>
      <c r="AP107" s="728"/>
      <c r="AQ107" s="728"/>
      <c r="AR107" s="728"/>
      <c r="AS107" s="728"/>
      <c r="AT107" s="728"/>
      <c r="AU107" s="728"/>
      <c r="AV107" s="728"/>
      <c r="AW107" s="728"/>
      <c r="AX107" s="728"/>
      <c r="AY107" s="728"/>
      <c r="AZ107" s="728"/>
    </row>
    <row r="108" spans="3:52" ht="15" customHeight="1">
      <c r="C108" s="1479" t="s">
        <v>1222</v>
      </c>
      <c r="D108" s="1479"/>
      <c r="E108" s="1479"/>
      <c r="F108" s="1479"/>
      <c r="G108" s="1479"/>
      <c r="H108" s="1479"/>
      <c r="I108" s="1479"/>
      <c r="J108" s="1479"/>
      <c r="K108" s="1479"/>
      <c r="L108" s="1479"/>
      <c r="M108" s="1479"/>
      <c r="N108" s="1479"/>
      <c r="O108" s="1479"/>
      <c r="P108" s="1479"/>
      <c r="Q108" s="1479"/>
      <c r="R108" s="1479"/>
      <c r="S108" s="1479"/>
      <c r="T108" s="1479"/>
      <c r="U108" s="1479"/>
      <c r="V108" s="1479"/>
      <c r="W108" s="1479"/>
      <c r="X108" s="1479"/>
      <c r="Y108" s="1479"/>
      <c r="Z108" s="1479"/>
      <c r="AA108" s="1479"/>
      <c r="AB108" s="1479"/>
      <c r="AC108" s="1479"/>
      <c r="AD108" s="1479"/>
      <c r="AE108" s="1479"/>
      <c r="AF108" s="1479"/>
      <c r="AG108" s="1479"/>
      <c r="AH108" s="1479"/>
      <c r="AI108" s="1479"/>
      <c r="AJ108" s="1479"/>
      <c r="AK108" s="1479"/>
      <c r="AL108" s="1479"/>
      <c r="AM108" s="1479"/>
      <c r="AN108" s="1479"/>
      <c r="AO108" s="1479"/>
      <c r="AP108" s="1479"/>
      <c r="AQ108" s="1479"/>
      <c r="AR108" s="1479"/>
      <c r="AS108" s="1479"/>
      <c r="AT108" s="1479"/>
      <c r="AU108" s="1479"/>
      <c r="AV108" s="1479"/>
      <c r="AW108" s="1479"/>
      <c r="AX108" s="1479"/>
      <c r="AY108" s="1479"/>
      <c r="AZ108" s="1479"/>
    </row>
    <row r="109" spans="3:52" ht="15" customHeight="1">
      <c r="C109" s="1479"/>
      <c r="D109" s="1479"/>
      <c r="E109" s="1479"/>
      <c r="F109" s="1479"/>
      <c r="G109" s="1479"/>
      <c r="H109" s="1479"/>
      <c r="I109" s="1479"/>
      <c r="J109" s="1479"/>
      <c r="K109" s="1479"/>
      <c r="L109" s="1479"/>
      <c r="M109" s="1479"/>
      <c r="N109" s="1479"/>
      <c r="O109" s="1479"/>
      <c r="P109" s="1479"/>
      <c r="Q109" s="1479"/>
      <c r="R109" s="1479"/>
      <c r="S109" s="1479"/>
      <c r="T109" s="1479"/>
      <c r="U109" s="1479"/>
      <c r="V109" s="1479"/>
      <c r="W109" s="1479"/>
      <c r="X109" s="1479"/>
      <c r="Y109" s="1479"/>
      <c r="Z109" s="1479"/>
      <c r="AA109" s="1479"/>
      <c r="AB109" s="1479"/>
      <c r="AC109" s="1479"/>
      <c r="AD109" s="1479"/>
      <c r="AE109" s="1479"/>
      <c r="AF109" s="1479"/>
      <c r="AG109" s="1479"/>
      <c r="AH109" s="1479"/>
      <c r="AI109" s="1479"/>
      <c r="AJ109" s="1479"/>
      <c r="AK109" s="1479"/>
      <c r="AL109" s="1479"/>
      <c r="AM109" s="1479"/>
      <c r="AN109" s="1479"/>
      <c r="AO109" s="1479"/>
      <c r="AP109" s="1479"/>
      <c r="AQ109" s="1479"/>
      <c r="AR109" s="1479"/>
      <c r="AS109" s="1479"/>
      <c r="AT109" s="1479"/>
      <c r="AU109" s="1479"/>
      <c r="AV109" s="1479"/>
      <c r="AW109" s="1479"/>
      <c r="AX109" s="1479"/>
      <c r="AY109" s="1479"/>
      <c r="AZ109" s="1479"/>
    </row>
    <row r="110" spans="3:52" ht="15" customHeight="1">
      <c r="C110" s="728"/>
      <c r="D110" s="728"/>
      <c r="E110" s="728"/>
      <c r="F110" s="728"/>
      <c r="G110" s="728"/>
      <c r="H110" s="728"/>
      <c r="I110" s="728"/>
      <c r="J110" s="728"/>
      <c r="K110" s="728"/>
      <c r="L110" s="728"/>
      <c r="M110" s="728"/>
      <c r="N110" s="728"/>
      <c r="O110" s="728"/>
      <c r="P110" s="728"/>
      <c r="Q110" s="728"/>
      <c r="R110" s="728"/>
      <c r="S110" s="728"/>
      <c r="T110" s="728"/>
      <c r="U110" s="728"/>
      <c r="V110" s="728"/>
      <c r="W110" s="728"/>
      <c r="X110" s="728"/>
      <c r="Y110" s="728"/>
      <c r="Z110" s="729"/>
      <c r="AA110" s="692"/>
      <c r="AB110" s="728"/>
      <c r="AC110" s="728"/>
      <c r="AD110" s="728"/>
      <c r="AE110" s="728"/>
      <c r="AF110" s="728"/>
      <c r="AG110" s="728"/>
      <c r="AH110" s="728"/>
      <c r="AI110" s="728"/>
      <c r="AJ110" s="728"/>
      <c r="AK110" s="728"/>
      <c r="AL110" s="728"/>
      <c r="AM110" s="728"/>
      <c r="AN110" s="728"/>
      <c r="AO110" s="728"/>
      <c r="AP110" s="728"/>
      <c r="AQ110" s="728"/>
      <c r="AR110" s="728"/>
      <c r="AS110" s="728"/>
      <c r="AT110" s="728"/>
      <c r="AU110" s="728"/>
      <c r="AV110" s="728"/>
      <c r="AW110" s="728"/>
      <c r="AX110" s="728"/>
      <c r="AY110" s="728"/>
      <c r="AZ110" s="728"/>
    </row>
    <row r="111" spans="3:52" ht="15" customHeight="1">
      <c r="C111" s="1115" t="s">
        <v>1253</v>
      </c>
      <c r="D111" s="728"/>
      <c r="E111" s="728"/>
      <c r="F111" s="728"/>
      <c r="G111" s="728"/>
      <c r="H111" s="728"/>
      <c r="I111" s="728"/>
      <c r="J111" s="728"/>
      <c r="K111" s="728"/>
      <c r="L111" s="728"/>
      <c r="M111" s="728"/>
      <c r="N111" s="728"/>
      <c r="O111" s="728"/>
      <c r="P111" s="728"/>
      <c r="Q111" s="728"/>
      <c r="R111" s="728"/>
      <c r="S111" s="728"/>
      <c r="T111" s="728"/>
      <c r="U111" s="728"/>
      <c r="V111" s="728"/>
      <c r="W111" s="728"/>
      <c r="X111" s="728"/>
      <c r="Y111" s="728"/>
      <c r="Z111" s="729"/>
      <c r="AA111" s="692"/>
      <c r="AB111" s="728"/>
      <c r="AC111" s="728"/>
      <c r="AD111" s="728"/>
      <c r="AE111" s="728"/>
      <c r="AF111" s="728"/>
      <c r="AG111" s="728"/>
      <c r="AH111" s="728"/>
      <c r="AI111" s="728"/>
      <c r="AJ111" s="728"/>
      <c r="AK111" s="728"/>
      <c r="AL111" s="728"/>
      <c r="AM111" s="728"/>
      <c r="AN111" s="728"/>
      <c r="AO111" s="728"/>
      <c r="AP111" s="728"/>
      <c r="AQ111" s="728"/>
      <c r="AR111" s="728"/>
      <c r="AS111" s="728"/>
      <c r="AT111" s="728"/>
      <c r="AU111" s="728"/>
      <c r="AV111" s="728"/>
      <c r="AW111" s="728"/>
      <c r="AX111" s="728"/>
      <c r="AY111" s="728"/>
      <c r="AZ111" s="728"/>
    </row>
    <row r="112" spans="3:52" ht="15" customHeight="1">
      <c r="C112" s="728"/>
      <c r="D112" s="728"/>
      <c r="E112" s="728"/>
      <c r="F112" s="728"/>
      <c r="G112" s="728"/>
      <c r="H112" s="728"/>
      <c r="I112" s="728"/>
      <c r="J112" s="728"/>
      <c r="K112" s="728"/>
      <c r="L112" s="728"/>
      <c r="M112" s="728"/>
      <c r="N112" s="728"/>
      <c r="O112" s="728"/>
      <c r="P112" s="728"/>
      <c r="Q112" s="728"/>
      <c r="R112" s="728"/>
      <c r="S112" s="728"/>
      <c r="T112" s="728"/>
      <c r="U112" s="728"/>
      <c r="V112" s="728"/>
      <c r="W112" s="728"/>
      <c r="X112" s="728"/>
      <c r="Y112" s="728"/>
      <c r="Z112" s="729"/>
      <c r="AA112" s="692"/>
      <c r="AB112" s="728"/>
      <c r="AC112" s="728"/>
      <c r="AD112" s="728"/>
      <c r="AE112" s="728"/>
      <c r="AF112" s="728"/>
      <c r="AG112" s="728"/>
      <c r="AH112" s="728"/>
      <c r="AI112" s="728"/>
      <c r="AJ112" s="728"/>
      <c r="AK112" s="728"/>
      <c r="AL112" s="728"/>
      <c r="AM112" s="728"/>
      <c r="AN112" s="728"/>
      <c r="AO112" s="728"/>
      <c r="AP112" s="728"/>
      <c r="AQ112" s="728"/>
      <c r="AR112" s="728"/>
      <c r="AS112" s="728"/>
      <c r="AT112" s="728"/>
      <c r="AU112" s="728"/>
      <c r="AV112" s="728"/>
      <c r="AW112" s="728"/>
      <c r="AX112" s="728"/>
      <c r="AY112" s="728"/>
      <c r="AZ112" s="728"/>
    </row>
    <row r="113" spans="3:101" ht="15" customHeight="1">
      <c r="Z113" s="692"/>
      <c r="AA113" s="692"/>
    </row>
    <row r="114" spans="3:101" ht="15" customHeight="1">
      <c r="C114" s="714"/>
      <c r="D114" s="714"/>
      <c r="E114" s="714"/>
      <c r="F114" s="714"/>
      <c r="G114" s="714"/>
      <c r="H114" s="714"/>
      <c r="I114" s="714"/>
      <c r="J114" s="714"/>
      <c r="K114" s="714"/>
      <c r="L114" s="714"/>
      <c r="M114" s="714"/>
      <c r="N114" s="714"/>
      <c r="O114" s="714"/>
      <c r="P114" s="714"/>
      <c r="Q114" s="714"/>
      <c r="R114" s="714"/>
      <c r="S114" s="714"/>
      <c r="T114" s="714"/>
      <c r="U114" s="714"/>
      <c r="V114" s="714"/>
      <c r="W114" s="714"/>
      <c r="X114" s="714"/>
      <c r="Y114" s="714"/>
      <c r="Z114" s="715"/>
      <c r="AA114" s="730"/>
      <c r="AB114" s="714"/>
      <c r="AC114" s="714"/>
      <c r="AD114" s="714"/>
      <c r="AE114" s="714"/>
      <c r="AF114" s="714"/>
      <c r="AG114" s="714"/>
      <c r="AH114" s="714"/>
      <c r="AI114" s="714"/>
      <c r="AJ114" s="714"/>
      <c r="AK114" s="714"/>
      <c r="AL114" s="714"/>
      <c r="AM114" s="714"/>
      <c r="AN114" s="714"/>
      <c r="AO114" s="714"/>
      <c r="AP114" s="714"/>
      <c r="AQ114" s="714"/>
      <c r="AR114" s="714"/>
      <c r="AS114" s="714"/>
      <c r="AT114" s="716" t="str">
        <f>AT78</f>
        <v/>
      </c>
      <c r="AU114" s="717"/>
      <c r="AV114" s="1443" t="s">
        <v>561</v>
      </c>
      <c r="AW114" s="1443"/>
      <c r="AX114" s="1443"/>
      <c r="AY114" s="1443"/>
      <c r="AZ114" s="1443"/>
    </row>
    <row r="115" spans="3:101" ht="15" customHeight="1"/>
    <row r="116" spans="3:101" ht="15" customHeight="1">
      <c r="Z116" s="692"/>
      <c r="AA116" s="692"/>
    </row>
    <row r="117" spans="3:101" ht="26.25">
      <c r="C117" s="693" t="s">
        <v>570</v>
      </c>
      <c r="Z117" s="692"/>
      <c r="AA117" s="692"/>
    </row>
    <row r="118" spans="3:101" ht="15" customHeight="1">
      <c r="Z118" s="692"/>
      <c r="AA118" s="692"/>
    </row>
    <row r="119" spans="3:101" ht="22.5" customHeight="1">
      <c r="C119" s="694" t="s">
        <v>614</v>
      </c>
      <c r="D119" s="695"/>
      <c r="E119" s="695"/>
      <c r="F119" s="695"/>
      <c r="G119" s="695"/>
      <c r="H119" s="695"/>
      <c r="I119" s="695"/>
      <c r="J119" s="695"/>
      <c r="K119" s="695"/>
      <c r="L119" s="695"/>
      <c r="M119" s="695"/>
      <c r="N119" s="695"/>
      <c r="O119" s="695"/>
      <c r="P119" s="695"/>
      <c r="Q119" s="695"/>
      <c r="R119" s="695"/>
      <c r="S119" s="695"/>
      <c r="T119" s="695"/>
      <c r="U119" s="695"/>
      <c r="V119" s="695"/>
      <c r="W119" s="695"/>
      <c r="X119" s="695"/>
      <c r="Y119" s="695"/>
      <c r="Z119" s="696"/>
      <c r="AA119" s="696"/>
      <c r="AB119" s="695"/>
      <c r="AC119" s="695"/>
      <c r="AD119" s="695"/>
      <c r="AE119" s="695"/>
      <c r="AF119" s="695"/>
      <c r="AG119" s="695"/>
      <c r="AH119" s="695"/>
      <c r="AI119" s="695"/>
      <c r="AJ119" s="695"/>
      <c r="AK119" s="695"/>
      <c r="AL119" s="695"/>
      <c r="AM119" s="695"/>
      <c r="AN119" s="695"/>
      <c r="AO119" s="695"/>
      <c r="AP119" s="695"/>
      <c r="AQ119" s="695"/>
      <c r="AR119" s="695"/>
      <c r="AS119" s="718"/>
      <c r="AT119" s="1444"/>
      <c r="AU119" s="1444"/>
      <c r="AV119" s="1444"/>
      <c r="AW119" s="1444"/>
      <c r="AX119" s="1444"/>
      <c r="AY119" s="1444"/>
      <c r="AZ119" s="1444"/>
    </row>
    <row r="120" spans="3:101" ht="15" customHeight="1"/>
    <row r="121" spans="3:101" ht="15" customHeight="1">
      <c r="C121" s="713" t="s">
        <v>631</v>
      </c>
      <c r="CU121" s="1408">
        <f>'Age Pension additional calcs'!Y25</f>
        <v>101380.87165486773</v>
      </c>
      <c r="CV121" s="1408"/>
      <c r="CW121" s="1408"/>
    </row>
    <row r="122" spans="3:101" ht="15" customHeight="1">
      <c r="D122" s="728"/>
      <c r="E122" s="728"/>
      <c r="F122" s="728"/>
      <c r="G122" s="728"/>
      <c r="H122" s="728"/>
      <c r="I122" s="728"/>
      <c r="J122" s="728"/>
      <c r="K122" s="728"/>
      <c r="L122" s="728"/>
      <c r="M122" s="728"/>
      <c r="N122" s="728"/>
      <c r="O122" s="728"/>
      <c r="P122" s="728"/>
      <c r="Q122" s="728"/>
      <c r="R122" s="728"/>
      <c r="S122" s="728"/>
      <c r="T122" s="728"/>
      <c r="U122" s="728"/>
      <c r="V122" s="728"/>
      <c r="W122" s="728"/>
      <c r="X122" s="728"/>
      <c r="Y122" s="728"/>
      <c r="Z122" s="728"/>
      <c r="AA122" s="728"/>
      <c r="AB122" s="728"/>
      <c r="AC122" s="728"/>
      <c r="AD122" s="728"/>
      <c r="AE122" s="728"/>
      <c r="AF122" s="728"/>
      <c r="AG122" s="728"/>
      <c r="AH122" s="728"/>
      <c r="AI122" s="728"/>
      <c r="AJ122" s="728"/>
      <c r="AK122" s="728"/>
      <c r="AL122" s="728"/>
      <c r="AM122" s="728"/>
      <c r="AN122" s="728"/>
      <c r="AO122" s="728"/>
      <c r="AP122" s="728"/>
      <c r="AQ122" s="728"/>
      <c r="AR122" s="728"/>
      <c r="AS122" s="728"/>
      <c r="AT122" s="728"/>
      <c r="AU122" s="728"/>
      <c r="AV122" s="728"/>
      <c r="AW122" s="728"/>
      <c r="AX122" s="728"/>
      <c r="AY122" s="728"/>
      <c r="AZ122" s="728"/>
      <c r="CU122" s="1480"/>
      <c r="CV122" s="1480"/>
      <c r="CW122" s="1480"/>
    </row>
    <row r="123" spans="3:101" ht="15" customHeight="1">
      <c r="C123" s="731" t="s">
        <v>634</v>
      </c>
      <c r="D123" s="732"/>
      <c r="E123" s="732"/>
      <c r="F123" s="732"/>
      <c r="G123" s="732"/>
      <c r="H123" s="732"/>
      <c r="I123" s="732"/>
      <c r="J123" s="732"/>
      <c r="K123" s="732"/>
      <c r="L123" s="732"/>
      <c r="M123" s="732"/>
      <c r="N123" s="732"/>
      <c r="O123" s="732"/>
      <c r="P123" s="732"/>
      <c r="Q123" s="732"/>
      <c r="R123" s="732"/>
      <c r="S123" s="732"/>
      <c r="T123" s="732"/>
      <c r="U123" s="732"/>
      <c r="V123" s="732"/>
      <c r="W123" s="732"/>
      <c r="X123" s="732"/>
      <c r="Y123" s="732"/>
      <c r="Z123" s="732"/>
      <c r="AA123" s="732"/>
      <c r="AB123" s="732"/>
      <c r="AC123" s="732"/>
      <c r="AD123" s="732"/>
      <c r="AE123" s="732"/>
      <c r="AF123" s="732"/>
      <c r="AG123" s="732"/>
      <c r="AH123" s="732"/>
      <c r="AI123" s="732"/>
      <c r="AJ123" s="732"/>
      <c r="AK123" s="732"/>
      <c r="AL123" s="732"/>
      <c r="AM123" s="732"/>
      <c r="AN123" s="732"/>
      <c r="AO123" s="732"/>
      <c r="AP123" s="732"/>
      <c r="AQ123" s="732"/>
      <c r="AR123" s="732"/>
      <c r="AS123" s="732"/>
      <c r="AT123" s="732"/>
      <c r="AU123" s="732"/>
      <c r="AV123" s="732"/>
      <c r="AW123" s="732"/>
      <c r="AX123" s="732"/>
      <c r="AY123" s="732"/>
      <c r="AZ123" s="733"/>
    </row>
    <row r="124" spans="3:101" ht="15" customHeight="1">
      <c r="C124" s="734"/>
      <c r="D124" s="735"/>
      <c r="E124" s="735"/>
      <c r="F124" s="735"/>
      <c r="G124" s="735"/>
      <c r="H124" s="1410" t="s">
        <v>616</v>
      </c>
      <c r="I124" s="1410"/>
      <c r="J124" s="1410"/>
      <c r="K124" s="1410" t="s">
        <v>617</v>
      </c>
      <c r="L124" s="1410"/>
      <c r="M124" s="1410"/>
      <c r="N124" s="1410" t="s">
        <v>618</v>
      </c>
      <c r="O124" s="1410"/>
      <c r="P124" s="1410"/>
      <c r="Q124" s="1410" t="s">
        <v>619</v>
      </c>
      <c r="R124" s="1410"/>
      <c r="S124" s="1410"/>
      <c r="T124" s="1410" t="s">
        <v>620</v>
      </c>
      <c r="U124" s="1410"/>
      <c r="V124" s="1410"/>
      <c r="W124" s="1410" t="s">
        <v>621</v>
      </c>
      <c r="X124" s="1410"/>
      <c r="Y124" s="1410"/>
      <c r="Z124" s="1410" t="s">
        <v>622</v>
      </c>
      <c r="AA124" s="1410"/>
      <c r="AB124" s="1410"/>
      <c r="AC124" s="1410" t="s">
        <v>623</v>
      </c>
      <c r="AD124" s="1410"/>
      <c r="AE124" s="1410"/>
      <c r="AF124" s="1410" t="s">
        <v>624</v>
      </c>
      <c r="AG124" s="1410"/>
      <c r="AH124" s="1410"/>
      <c r="AI124" s="1410" t="s">
        <v>625</v>
      </c>
      <c r="AJ124" s="1410"/>
      <c r="AK124" s="1410"/>
      <c r="AL124" s="1410" t="s">
        <v>626</v>
      </c>
      <c r="AM124" s="1410"/>
      <c r="AN124" s="1410"/>
      <c r="AO124" s="1410" t="s">
        <v>627</v>
      </c>
      <c r="AP124" s="1410"/>
      <c r="AQ124" s="1410"/>
      <c r="AR124" s="1410" t="s">
        <v>628</v>
      </c>
      <c r="AS124" s="1410"/>
      <c r="AT124" s="1410"/>
      <c r="AU124" s="1410" t="s">
        <v>629</v>
      </c>
      <c r="AV124" s="1410"/>
      <c r="AW124" s="1410"/>
      <c r="AX124" s="1410" t="s">
        <v>630</v>
      </c>
      <c r="AY124" s="1410"/>
      <c r="AZ124" s="1410"/>
      <c r="BN124" s="736"/>
      <c r="BO124" s="736"/>
      <c r="BP124" s="736"/>
      <c r="BQ124" s="736"/>
      <c r="BR124" s="736"/>
      <c r="BS124" s="736"/>
      <c r="BT124" s="736"/>
      <c r="BU124" s="736"/>
      <c r="BV124" s="736"/>
      <c r="BW124" s="736"/>
      <c r="BX124" s="736"/>
      <c r="BY124" s="736"/>
      <c r="BZ124" s="736"/>
      <c r="CA124" s="736"/>
      <c r="CB124" s="736"/>
    </row>
    <row r="125" spans="3:101" ht="15" customHeight="1">
      <c r="C125" s="1467" t="s">
        <v>632</v>
      </c>
      <c r="D125" s="1467"/>
      <c r="E125" s="1467"/>
      <c r="F125" s="1467"/>
      <c r="G125" s="1467"/>
      <c r="H125" s="1408">
        <f>'Age Pension additional calcs'!Y10</f>
        <v>70000</v>
      </c>
      <c r="I125" s="1408"/>
      <c r="J125" s="1408"/>
      <c r="K125" s="1408">
        <f>'Age Pension additional calcs'!Y11</f>
        <v>71750</v>
      </c>
      <c r="L125" s="1408"/>
      <c r="M125" s="1408"/>
      <c r="N125" s="1408">
        <f>'Age Pension additional calcs'!Y12</f>
        <v>73543.75</v>
      </c>
      <c r="O125" s="1408"/>
      <c r="P125" s="1408"/>
      <c r="Q125" s="1408">
        <f>'Age Pension additional calcs'!Y13</f>
        <v>75382.343749999985</v>
      </c>
      <c r="R125" s="1408"/>
      <c r="S125" s="1408"/>
      <c r="T125" s="1408">
        <f>'Age Pension additional calcs'!Y14</f>
        <v>77266.902343749985</v>
      </c>
      <c r="U125" s="1408"/>
      <c r="V125" s="1408"/>
      <c r="W125" s="1408">
        <f>'Age Pension additional calcs'!Y15</f>
        <v>79198.574902343724</v>
      </c>
      <c r="X125" s="1408"/>
      <c r="Y125" s="1408"/>
      <c r="Z125" s="1408">
        <f>'Age Pension additional calcs'!Y16</f>
        <v>81178.539274902316</v>
      </c>
      <c r="AA125" s="1408"/>
      <c r="AB125" s="1408"/>
      <c r="AC125" s="1408">
        <f>'Age Pension additional calcs'!Y17</f>
        <v>83208.002756774877</v>
      </c>
      <c r="AD125" s="1408"/>
      <c r="AE125" s="1408"/>
      <c r="AF125" s="1408">
        <f>'Age Pension additional calcs'!Y18</f>
        <v>85288.202825694243</v>
      </c>
      <c r="AG125" s="1408"/>
      <c r="AH125" s="1408"/>
      <c r="AI125" s="1408">
        <f>'Age Pension additional calcs'!Y19</f>
        <v>87420.407896336576</v>
      </c>
      <c r="AJ125" s="1408"/>
      <c r="AK125" s="1408"/>
      <c r="AL125" s="1408">
        <f>'Age Pension additional calcs'!Y20</f>
        <v>89605.918093745</v>
      </c>
      <c r="AM125" s="1408"/>
      <c r="AN125" s="1408"/>
      <c r="AO125" s="1408">
        <f>'Age Pension additional calcs'!Y21</f>
        <v>91846.066046088614</v>
      </c>
      <c r="AP125" s="1408"/>
      <c r="AQ125" s="1408"/>
      <c r="AR125" s="1408">
        <f>'Age Pension additional calcs'!Y22</f>
        <v>94142.21769724082</v>
      </c>
      <c r="AS125" s="1408"/>
      <c r="AT125" s="1408"/>
      <c r="AU125" s="1408">
        <f>'Age Pension additional calcs'!Y23</f>
        <v>96495.773139671845</v>
      </c>
      <c r="AV125" s="1408"/>
      <c r="AW125" s="1408"/>
      <c r="AX125" s="1408">
        <f>'Age Pension additional calcs'!Y24</f>
        <v>98908.167468163621</v>
      </c>
      <c r="AY125" s="1408"/>
      <c r="AZ125" s="1408"/>
    </row>
    <row r="126" spans="3:101" ht="15" customHeight="1">
      <c r="C126" s="1469"/>
      <c r="D126" s="1469"/>
      <c r="E126" s="1469"/>
      <c r="F126" s="1469"/>
      <c r="G126" s="1469"/>
      <c r="H126" s="1409"/>
      <c r="I126" s="1409"/>
      <c r="J126" s="1409"/>
      <c r="K126" s="1409"/>
      <c r="L126" s="1409"/>
      <c r="M126" s="1409"/>
      <c r="N126" s="1409"/>
      <c r="O126" s="1409"/>
      <c r="P126" s="1409"/>
      <c r="Q126" s="1409"/>
      <c r="R126" s="1409"/>
      <c r="S126" s="1409"/>
      <c r="T126" s="1409"/>
      <c r="U126" s="1409"/>
      <c r="V126" s="1409"/>
      <c r="W126" s="1409"/>
      <c r="X126" s="1409"/>
      <c r="Y126" s="1409"/>
      <c r="Z126" s="1409"/>
      <c r="AA126" s="1409"/>
      <c r="AB126" s="1409"/>
      <c r="AC126" s="1409"/>
      <c r="AD126" s="1409"/>
      <c r="AE126" s="1409"/>
      <c r="AF126" s="1409"/>
      <c r="AG126" s="1409"/>
      <c r="AH126" s="1409"/>
      <c r="AI126" s="1409"/>
      <c r="AJ126" s="1409"/>
      <c r="AK126" s="1409"/>
      <c r="AL126" s="1409"/>
      <c r="AM126" s="1409"/>
      <c r="AN126" s="1409"/>
      <c r="AO126" s="1409"/>
      <c r="AP126" s="1409"/>
      <c r="AQ126" s="1409"/>
      <c r="AR126" s="1409"/>
      <c r="AS126" s="1409"/>
      <c r="AT126" s="1409"/>
      <c r="AU126" s="1409"/>
      <c r="AV126" s="1409"/>
      <c r="AW126" s="1409"/>
      <c r="AX126" s="1409"/>
      <c r="AY126" s="1409"/>
      <c r="AZ126" s="1409"/>
    </row>
    <row r="127" spans="3:101" ht="15" customHeight="1">
      <c r="C127" s="1468" t="s">
        <v>878</v>
      </c>
      <c r="D127" s="1468"/>
      <c r="E127" s="1468"/>
      <c r="F127" s="1468"/>
      <c r="G127" s="1468"/>
      <c r="H127" s="1461">
        <f>'Age Pension additional calcs'!Z11</f>
        <v>824771.09578776709</v>
      </c>
      <c r="I127" s="1461"/>
      <c r="J127" s="1461"/>
      <c r="K127" s="1461">
        <f>'Age Pension additional calcs'!Z12</f>
        <v>780719.58045411715</v>
      </c>
      <c r="L127" s="1461"/>
      <c r="M127" s="1461"/>
      <c r="N127" s="1461">
        <f>'Age Pension additional calcs'!Z13</f>
        <v>736987.27558890998</v>
      </c>
      <c r="O127" s="1461"/>
      <c r="P127" s="1461"/>
      <c r="Q127" s="1461">
        <f>'Age Pension additional calcs'!Z14</f>
        <v>694768.91391266475</v>
      </c>
      <c r="R127" s="1461"/>
      <c r="S127" s="1461"/>
      <c r="T127" s="1461">
        <f>'Age Pension additional calcs'!Z15</f>
        <v>654025.4300718091</v>
      </c>
      <c r="U127" s="1461"/>
      <c r="V127" s="1461"/>
      <c r="W127" s="1461">
        <f>'Age Pension additional calcs'!Z16</f>
        <v>614701.20853841049</v>
      </c>
      <c r="X127" s="1461"/>
      <c r="Y127" s="1461"/>
      <c r="Z127" s="1461">
        <f>'Age Pension additional calcs'!Z17</f>
        <v>576722.51517819625</v>
      </c>
      <c r="AA127" s="1461"/>
      <c r="AB127" s="1461"/>
      <c r="AC127" s="1461">
        <f>'Age Pension additional calcs'!Z18</f>
        <v>540043.72880638426</v>
      </c>
      <c r="AD127" s="1461"/>
      <c r="AE127" s="1461"/>
      <c r="AF127" s="1461">
        <f>'Age Pension additional calcs'!Z19</f>
        <v>504615.54587371909</v>
      </c>
      <c r="AG127" s="1461"/>
      <c r="AH127" s="1461"/>
      <c r="AI127" s="1461">
        <f>'Age Pension additional calcs'!Z20</f>
        <v>471507.4040885063</v>
      </c>
      <c r="AJ127" s="1461"/>
      <c r="AK127" s="1461"/>
      <c r="AL127" s="1461">
        <f>'Age Pension additional calcs'!Z21</f>
        <v>437434.08130861685</v>
      </c>
      <c r="AM127" s="1461"/>
      <c r="AN127" s="1461"/>
      <c r="AO127" s="1461">
        <f>'Age Pension additional calcs'!Z22</f>
        <v>401887.11961058754</v>
      </c>
      <c r="AP127" s="1461"/>
      <c r="AQ127" s="1461"/>
      <c r="AR127" s="1461">
        <f>'Age Pension additional calcs'!Z23</f>
        <v>364820.55987477419</v>
      </c>
      <c r="AS127" s="1461"/>
      <c r="AT127" s="1461"/>
      <c r="AU127" s="1461">
        <f>'Age Pension additional calcs'!Z24</f>
        <v>325863.65764753456</v>
      </c>
      <c r="AV127" s="1461"/>
      <c r="AW127" s="1461"/>
      <c r="AX127" s="1472">
        <f>'Age Pension additional calcs'!Z25</f>
        <v>284506.41929487209</v>
      </c>
      <c r="AY127" s="1472"/>
      <c r="AZ127" s="1472"/>
    </row>
    <row r="128" spans="3:101" ht="15" customHeight="1">
      <c r="C128" s="1469"/>
      <c r="D128" s="1469"/>
      <c r="E128" s="1469"/>
      <c r="F128" s="1469"/>
      <c r="G128" s="1469"/>
      <c r="H128" s="1409"/>
      <c r="I128" s="1409"/>
      <c r="J128" s="1409"/>
      <c r="K128" s="1409"/>
      <c r="L128" s="1409"/>
      <c r="M128" s="1409"/>
      <c r="N128" s="1409"/>
      <c r="O128" s="1409"/>
      <c r="P128" s="1409"/>
      <c r="Q128" s="1409"/>
      <c r="R128" s="1409"/>
      <c r="S128" s="1409"/>
      <c r="T128" s="1409"/>
      <c r="U128" s="1409"/>
      <c r="V128" s="1409"/>
      <c r="W128" s="1409"/>
      <c r="X128" s="1409"/>
      <c r="Y128" s="1409"/>
      <c r="Z128" s="1409"/>
      <c r="AA128" s="1409"/>
      <c r="AB128" s="1409"/>
      <c r="AC128" s="1409"/>
      <c r="AD128" s="1409"/>
      <c r="AE128" s="1409"/>
      <c r="AF128" s="1409"/>
      <c r="AG128" s="1409"/>
      <c r="AH128" s="1409"/>
      <c r="AI128" s="1409"/>
      <c r="AJ128" s="1409"/>
      <c r="AK128" s="1409"/>
      <c r="AL128" s="1409"/>
      <c r="AM128" s="1409"/>
      <c r="AN128" s="1409"/>
      <c r="AO128" s="1409"/>
      <c r="AP128" s="1409"/>
      <c r="AQ128" s="1409"/>
      <c r="AR128" s="1409"/>
      <c r="AS128" s="1409"/>
      <c r="AT128" s="1409"/>
      <c r="AU128" s="1409"/>
      <c r="AV128" s="1409"/>
      <c r="AW128" s="1409"/>
      <c r="AX128" s="1473"/>
      <c r="AY128" s="1473"/>
      <c r="AZ128" s="1473"/>
    </row>
    <row r="129" spans="3:52" ht="15" customHeight="1">
      <c r="C129" s="728"/>
      <c r="D129" s="728"/>
      <c r="E129" s="728"/>
      <c r="F129" s="728"/>
      <c r="G129" s="728"/>
      <c r="H129" s="728"/>
      <c r="I129" s="728"/>
      <c r="J129" s="728"/>
      <c r="K129" s="728"/>
      <c r="L129" s="728"/>
      <c r="M129" s="728"/>
      <c r="N129" s="728"/>
      <c r="O129" s="728"/>
      <c r="P129" s="728"/>
      <c r="Q129" s="728"/>
      <c r="R129" s="728"/>
      <c r="S129" s="728"/>
      <c r="T129" s="728"/>
      <c r="U129" s="728"/>
      <c r="V129" s="728"/>
      <c r="W129" s="728"/>
      <c r="X129" s="728"/>
      <c r="Y129" s="728"/>
      <c r="Z129" s="728"/>
      <c r="AA129" s="728"/>
      <c r="AB129" s="728"/>
      <c r="AC129" s="728"/>
      <c r="AD129" s="728"/>
      <c r="AE129" s="728"/>
      <c r="AF129" s="728"/>
      <c r="AG129" s="728"/>
      <c r="AH129" s="728"/>
      <c r="AI129" s="728"/>
      <c r="AJ129" s="728"/>
      <c r="AK129" s="728"/>
      <c r="AL129" s="728"/>
      <c r="AM129" s="728"/>
      <c r="AN129" s="728"/>
      <c r="AO129" s="728"/>
      <c r="AP129" s="728"/>
      <c r="AQ129" s="728"/>
      <c r="AR129" s="728"/>
      <c r="AS129" s="728"/>
      <c r="AT129" s="728"/>
      <c r="AU129" s="728"/>
      <c r="AV129" s="728"/>
      <c r="AW129" s="728"/>
      <c r="AX129" s="728"/>
      <c r="AY129" s="728"/>
      <c r="AZ129" s="728"/>
    </row>
    <row r="130" spans="3:52" ht="15" customHeight="1">
      <c r="C130" s="731" t="str">
        <f>"Present dollars (after "&amp;TEXT(Settings!J63,"#.#%")&amp;" inflation)"</f>
        <v>Present dollars (after 2.5% inflation)</v>
      </c>
      <c r="D130" s="732"/>
      <c r="E130" s="732"/>
      <c r="F130" s="732"/>
      <c r="G130" s="732"/>
      <c r="H130" s="732"/>
      <c r="I130" s="732"/>
      <c r="J130" s="732"/>
      <c r="K130" s="732"/>
      <c r="L130" s="732"/>
      <c r="M130" s="732"/>
      <c r="N130" s="732"/>
      <c r="O130" s="732"/>
      <c r="P130" s="732"/>
      <c r="Q130" s="732"/>
      <c r="R130" s="732"/>
      <c r="S130" s="732"/>
      <c r="T130" s="732"/>
      <c r="U130" s="732"/>
      <c r="V130" s="732"/>
      <c r="W130" s="732"/>
      <c r="X130" s="732"/>
      <c r="Y130" s="732"/>
      <c r="Z130" s="732"/>
      <c r="AA130" s="732"/>
      <c r="AB130" s="732"/>
      <c r="AC130" s="732"/>
      <c r="AD130" s="732"/>
      <c r="AE130" s="732"/>
      <c r="AF130" s="732"/>
      <c r="AG130" s="732"/>
      <c r="AH130" s="732"/>
      <c r="AI130" s="732"/>
      <c r="AJ130" s="732"/>
      <c r="AK130" s="732"/>
      <c r="AL130" s="732"/>
      <c r="AM130" s="732"/>
      <c r="AN130" s="732"/>
      <c r="AO130" s="732"/>
      <c r="AP130" s="732"/>
      <c r="AQ130" s="732"/>
      <c r="AR130" s="732"/>
      <c r="AS130" s="732"/>
      <c r="AT130" s="732"/>
      <c r="AU130" s="732"/>
      <c r="AV130" s="732"/>
      <c r="AW130" s="732"/>
      <c r="AX130" s="732"/>
      <c r="AY130" s="732"/>
      <c r="AZ130" s="733"/>
    </row>
    <row r="131" spans="3:52" ht="15" customHeight="1">
      <c r="C131" s="734"/>
      <c r="D131" s="735"/>
      <c r="E131" s="735"/>
      <c r="F131" s="735"/>
      <c r="G131" s="735"/>
      <c r="H131" s="1410" t="s">
        <v>616</v>
      </c>
      <c r="I131" s="1410"/>
      <c r="J131" s="1410"/>
      <c r="K131" s="1410" t="s">
        <v>617</v>
      </c>
      <c r="L131" s="1410"/>
      <c r="M131" s="1410"/>
      <c r="N131" s="1410" t="s">
        <v>618</v>
      </c>
      <c r="O131" s="1410"/>
      <c r="P131" s="1410"/>
      <c r="Q131" s="1410" t="s">
        <v>619</v>
      </c>
      <c r="R131" s="1410"/>
      <c r="S131" s="1410"/>
      <c r="T131" s="1410" t="s">
        <v>620</v>
      </c>
      <c r="U131" s="1410"/>
      <c r="V131" s="1410"/>
      <c r="W131" s="1410" t="s">
        <v>621</v>
      </c>
      <c r="X131" s="1410"/>
      <c r="Y131" s="1410"/>
      <c r="Z131" s="1410" t="s">
        <v>622</v>
      </c>
      <c r="AA131" s="1410"/>
      <c r="AB131" s="1410"/>
      <c r="AC131" s="1410" t="s">
        <v>623</v>
      </c>
      <c r="AD131" s="1410"/>
      <c r="AE131" s="1410"/>
      <c r="AF131" s="1410" t="s">
        <v>624</v>
      </c>
      <c r="AG131" s="1410"/>
      <c r="AH131" s="1410"/>
      <c r="AI131" s="1410" t="s">
        <v>625</v>
      </c>
      <c r="AJ131" s="1410"/>
      <c r="AK131" s="1410"/>
      <c r="AL131" s="1410" t="s">
        <v>626</v>
      </c>
      <c r="AM131" s="1410"/>
      <c r="AN131" s="1410"/>
      <c r="AO131" s="1410" t="s">
        <v>627</v>
      </c>
      <c r="AP131" s="1410"/>
      <c r="AQ131" s="1410"/>
      <c r="AR131" s="1410" t="s">
        <v>628</v>
      </c>
      <c r="AS131" s="1410"/>
      <c r="AT131" s="1410"/>
      <c r="AU131" s="1410" t="s">
        <v>629</v>
      </c>
      <c r="AV131" s="1410"/>
      <c r="AW131" s="1410"/>
      <c r="AX131" s="1410" t="s">
        <v>630</v>
      </c>
      <c r="AY131" s="1410"/>
      <c r="AZ131" s="1410"/>
    </row>
    <row r="132" spans="3:52" ht="15" customHeight="1">
      <c r="C132" s="1467" t="s">
        <v>632</v>
      </c>
      <c r="D132" s="1467"/>
      <c r="E132" s="1467"/>
      <c r="F132" s="1467"/>
      <c r="G132" s="1467"/>
      <c r="H132" s="1408">
        <f>'Age Pension additional calcs'!U10</f>
        <v>70000</v>
      </c>
      <c r="I132" s="1408"/>
      <c r="J132" s="1408"/>
      <c r="K132" s="1408">
        <f>'Age Pension additional calcs'!U11</f>
        <v>70000</v>
      </c>
      <c r="L132" s="1408"/>
      <c r="M132" s="1408"/>
      <c r="N132" s="1408">
        <f>'Age Pension additional calcs'!U12</f>
        <v>70000</v>
      </c>
      <c r="O132" s="1408"/>
      <c r="P132" s="1408"/>
      <c r="Q132" s="1408">
        <f>'Age Pension additional calcs'!U13</f>
        <v>70000</v>
      </c>
      <c r="R132" s="1408"/>
      <c r="S132" s="1408"/>
      <c r="T132" s="1408">
        <f>'Age Pension additional calcs'!U14</f>
        <v>70000</v>
      </c>
      <c r="U132" s="1408"/>
      <c r="V132" s="1408"/>
      <c r="W132" s="1408">
        <f>'Age Pension additional calcs'!U15</f>
        <v>70000</v>
      </c>
      <c r="X132" s="1408"/>
      <c r="Y132" s="1408"/>
      <c r="Z132" s="1408">
        <f>'Age Pension additional calcs'!U16</f>
        <v>70000</v>
      </c>
      <c r="AA132" s="1408"/>
      <c r="AB132" s="1408"/>
      <c r="AC132" s="1408">
        <f>'Age Pension additional calcs'!U17</f>
        <v>70000</v>
      </c>
      <c r="AD132" s="1408"/>
      <c r="AE132" s="1408"/>
      <c r="AF132" s="1408">
        <f>'Age Pension additional calcs'!U18</f>
        <v>70000</v>
      </c>
      <c r="AG132" s="1408"/>
      <c r="AH132" s="1408"/>
      <c r="AI132" s="1408">
        <f>'Age Pension additional calcs'!U19</f>
        <v>70000</v>
      </c>
      <c r="AJ132" s="1408"/>
      <c r="AK132" s="1408"/>
      <c r="AL132" s="1408">
        <f>'Age Pension additional calcs'!U20</f>
        <v>70000</v>
      </c>
      <c r="AM132" s="1408"/>
      <c r="AN132" s="1408"/>
      <c r="AO132" s="1408">
        <f>'Age Pension additional calcs'!U21</f>
        <v>70000</v>
      </c>
      <c r="AP132" s="1408"/>
      <c r="AQ132" s="1408"/>
      <c r="AR132" s="1408">
        <f>'Age Pension additional calcs'!U22</f>
        <v>70000</v>
      </c>
      <c r="AS132" s="1408"/>
      <c r="AT132" s="1408"/>
      <c r="AU132" s="1408">
        <f>'Age Pension additional calcs'!U23</f>
        <v>70000</v>
      </c>
      <c r="AV132" s="1408"/>
      <c r="AW132" s="1408"/>
      <c r="AX132" s="1408">
        <f>'Age Pension additional calcs'!U24</f>
        <v>70000</v>
      </c>
      <c r="AY132" s="1408"/>
      <c r="AZ132" s="1408"/>
    </row>
    <row r="133" spans="3:52" ht="15" customHeight="1">
      <c r="C133" s="1469"/>
      <c r="D133" s="1469"/>
      <c r="E133" s="1469"/>
      <c r="F133" s="1469"/>
      <c r="G133" s="1469"/>
      <c r="H133" s="1409"/>
      <c r="I133" s="1409"/>
      <c r="J133" s="1409"/>
      <c r="K133" s="1409"/>
      <c r="L133" s="1409"/>
      <c r="M133" s="1409"/>
      <c r="N133" s="1409"/>
      <c r="O133" s="1409"/>
      <c r="P133" s="1409"/>
      <c r="Q133" s="1409"/>
      <c r="R133" s="1409"/>
      <c r="S133" s="1409"/>
      <c r="T133" s="1409"/>
      <c r="U133" s="1409"/>
      <c r="V133" s="1409"/>
      <c r="W133" s="1409"/>
      <c r="X133" s="1409"/>
      <c r="Y133" s="1409"/>
      <c r="Z133" s="1409"/>
      <c r="AA133" s="1409"/>
      <c r="AB133" s="1409"/>
      <c r="AC133" s="1409"/>
      <c r="AD133" s="1409"/>
      <c r="AE133" s="1409"/>
      <c r="AF133" s="1409"/>
      <c r="AG133" s="1409"/>
      <c r="AH133" s="1409"/>
      <c r="AI133" s="1409"/>
      <c r="AJ133" s="1409"/>
      <c r="AK133" s="1409"/>
      <c r="AL133" s="1409"/>
      <c r="AM133" s="1409"/>
      <c r="AN133" s="1409"/>
      <c r="AO133" s="1409"/>
      <c r="AP133" s="1409"/>
      <c r="AQ133" s="1409"/>
      <c r="AR133" s="1409"/>
      <c r="AS133" s="1409"/>
      <c r="AT133" s="1409"/>
      <c r="AU133" s="1409"/>
      <c r="AV133" s="1409"/>
      <c r="AW133" s="1409"/>
      <c r="AX133" s="1409"/>
      <c r="AY133" s="1409"/>
      <c r="AZ133" s="1409"/>
    </row>
    <row r="134" spans="3:52" ht="15" customHeight="1">
      <c r="C134" s="1468" t="s">
        <v>877</v>
      </c>
      <c r="D134" s="1468"/>
      <c r="E134" s="1468"/>
      <c r="F134" s="1468"/>
      <c r="G134" s="1468"/>
      <c r="H134" s="1461">
        <f>'Age Pension additional calcs'!V11</f>
        <v>804654.72759782162</v>
      </c>
      <c r="I134" s="1461"/>
      <c r="J134" s="1461"/>
      <c r="K134" s="1461">
        <f>'Age Pension additional calcs'!V12</f>
        <v>743100.1360657867</v>
      </c>
      <c r="L134" s="1461"/>
      <c r="M134" s="1461"/>
      <c r="N134" s="1461">
        <f>'Age Pension additional calcs'!V13</f>
        <v>684365.94996721239</v>
      </c>
      <c r="O134" s="1461"/>
      <c r="P134" s="1461"/>
      <c r="Q134" s="1461">
        <f>'Age Pension additional calcs'!V14</f>
        <v>629426.34554600413</v>
      </c>
      <c r="R134" s="1461"/>
      <c r="S134" s="1461"/>
      <c r="T134" s="1461">
        <f>'Age Pension additional calcs'!V15</f>
        <v>578063.18057462689</v>
      </c>
      <c r="U134" s="1461"/>
      <c r="V134" s="1461"/>
      <c r="W134" s="1461">
        <f>'Age Pension additional calcs'!V16</f>
        <v>530054.92562480597</v>
      </c>
      <c r="X134" s="1461"/>
      <c r="Y134" s="1461"/>
      <c r="Z134" s="1461">
        <f>'Age Pension additional calcs'!V17</f>
        <v>485176.60230928601</v>
      </c>
      <c r="AA134" s="1461"/>
      <c r="AB134" s="1461"/>
      <c r="AC134" s="1461">
        <f>'Age Pension additional calcs'!V18</f>
        <v>443239.0385069552</v>
      </c>
      <c r="AD134" s="1461"/>
      <c r="AE134" s="1461"/>
      <c r="AF134" s="1461">
        <f>'Age Pension additional calcs'!V19</f>
        <v>404059.97937056731</v>
      </c>
      <c r="AG134" s="1461"/>
      <c r="AH134" s="1461"/>
      <c r="AI134" s="1461">
        <f>'Age Pension additional calcs'!V20</f>
        <v>368340.83047578769</v>
      </c>
      <c r="AJ134" s="1461"/>
      <c r="AK134" s="1461"/>
      <c r="AL134" s="1461">
        <f>'Age Pension additional calcs'!V21</f>
        <v>333388.10261332022</v>
      </c>
      <c r="AM134" s="1461"/>
      <c r="AN134" s="1461"/>
      <c r="AO134" s="1461">
        <f>'Age Pension additional calcs'!V22</f>
        <v>298825.53291036014</v>
      </c>
      <c r="AP134" s="1461"/>
      <c r="AQ134" s="1461"/>
      <c r="AR134" s="1461">
        <f>'Age Pension additional calcs'!V23</f>
        <v>264648.26759064652</v>
      </c>
      <c r="AS134" s="1461"/>
      <c r="AT134" s="1461"/>
      <c r="AU134" s="1461">
        <f>'Age Pension additional calcs'!V24</f>
        <v>230622.57262697344</v>
      </c>
      <c r="AV134" s="1461"/>
      <c r="AW134" s="1461"/>
      <c r="AX134" s="1472">
        <f>'Age Pension additional calcs'!V25</f>
        <v>196441.88322269981</v>
      </c>
      <c r="AY134" s="1472"/>
      <c r="AZ134" s="1472"/>
    </row>
    <row r="135" spans="3:52" ht="15" customHeight="1">
      <c r="C135" s="1469"/>
      <c r="D135" s="1469"/>
      <c r="E135" s="1469"/>
      <c r="F135" s="1469"/>
      <c r="G135" s="1469"/>
      <c r="H135" s="1409"/>
      <c r="I135" s="1409"/>
      <c r="J135" s="1409"/>
      <c r="K135" s="1409"/>
      <c r="L135" s="1409"/>
      <c r="M135" s="1409"/>
      <c r="N135" s="1409"/>
      <c r="O135" s="1409"/>
      <c r="P135" s="1409"/>
      <c r="Q135" s="1409"/>
      <c r="R135" s="1409"/>
      <c r="S135" s="1409"/>
      <c r="T135" s="1409"/>
      <c r="U135" s="1409"/>
      <c r="V135" s="1409"/>
      <c r="W135" s="1409"/>
      <c r="X135" s="1409"/>
      <c r="Y135" s="1409"/>
      <c r="Z135" s="1409"/>
      <c r="AA135" s="1409"/>
      <c r="AB135" s="1409"/>
      <c r="AC135" s="1409"/>
      <c r="AD135" s="1409"/>
      <c r="AE135" s="1409"/>
      <c r="AF135" s="1409"/>
      <c r="AG135" s="1409"/>
      <c r="AH135" s="1409"/>
      <c r="AI135" s="1409"/>
      <c r="AJ135" s="1409"/>
      <c r="AK135" s="1409"/>
      <c r="AL135" s="1409"/>
      <c r="AM135" s="1409"/>
      <c r="AN135" s="1409"/>
      <c r="AO135" s="1409"/>
      <c r="AP135" s="1409"/>
      <c r="AQ135" s="1409"/>
      <c r="AR135" s="1409"/>
      <c r="AS135" s="1409"/>
      <c r="AT135" s="1409"/>
      <c r="AU135" s="1409"/>
      <c r="AV135" s="1409"/>
      <c r="AW135" s="1409"/>
      <c r="AX135" s="1473"/>
      <c r="AY135" s="1473"/>
      <c r="AZ135" s="1473"/>
    </row>
    <row r="136" spans="3:52" ht="15" customHeight="1">
      <c r="C136" s="728"/>
      <c r="D136" s="728"/>
      <c r="E136" s="728"/>
      <c r="F136" s="728"/>
      <c r="G136" s="728"/>
      <c r="H136" s="728"/>
      <c r="I136" s="728"/>
      <c r="J136" s="728"/>
      <c r="K136" s="728"/>
      <c r="L136" s="728"/>
      <c r="M136" s="728"/>
      <c r="N136" s="728"/>
      <c r="O136" s="728"/>
      <c r="P136" s="728"/>
      <c r="Q136" s="728"/>
      <c r="R136" s="728"/>
      <c r="S136" s="728"/>
      <c r="T136" s="728"/>
      <c r="U136" s="728"/>
      <c r="V136" s="728"/>
      <c r="W136" s="728"/>
      <c r="X136" s="728"/>
      <c r="Y136" s="728"/>
      <c r="Z136" s="728"/>
      <c r="AA136" s="728"/>
      <c r="AB136" s="728"/>
      <c r="AC136" s="728"/>
      <c r="AD136" s="728"/>
      <c r="AE136" s="728"/>
      <c r="AF136" s="728"/>
      <c r="AG136" s="728"/>
      <c r="AH136" s="728"/>
      <c r="AI136" s="728"/>
      <c r="AJ136" s="728"/>
      <c r="AK136" s="728"/>
      <c r="AL136" s="728"/>
      <c r="AM136" s="728"/>
      <c r="AN136" s="728"/>
      <c r="AO136" s="728"/>
      <c r="AP136" s="728"/>
      <c r="AQ136" s="728"/>
      <c r="AR136" s="728"/>
      <c r="AS136" s="728"/>
      <c r="AT136" s="728"/>
      <c r="AU136" s="728"/>
      <c r="AV136" s="728"/>
      <c r="AW136" s="728"/>
      <c r="AX136" s="728"/>
      <c r="AY136" s="728"/>
      <c r="AZ136" s="728"/>
    </row>
    <row r="137" spans="3:52" ht="15" customHeight="1">
      <c r="C137" s="713"/>
      <c r="V137" s="728"/>
      <c r="W137" s="728"/>
      <c r="X137" s="728"/>
      <c r="Y137" s="728"/>
      <c r="Z137" s="728"/>
      <c r="AA137" s="728"/>
      <c r="AB137" s="728"/>
      <c r="AC137" s="728"/>
      <c r="AD137" s="728"/>
      <c r="AE137" s="728"/>
      <c r="AF137" s="728"/>
      <c r="AG137" s="728"/>
      <c r="AH137" s="728"/>
      <c r="AI137" s="728"/>
      <c r="AJ137" s="728"/>
      <c r="AK137" s="728"/>
      <c r="AL137" s="728"/>
      <c r="AM137" s="728"/>
      <c r="AN137" s="728"/>
      <c r="AO137" s="728"/>
      <c r="AP137" s="728"/>
      <c r="AQ137" s="728"/>
      <c r="AR137" s="728"/>
      <c r="AS137" s="728"/>
      <c r="AT137" s="728"/>
      <c r="AU137" s="728"/>
      <c r="AV137" s="728"/>
      <c r="AW137" s="728"/>
      <c r="AX137" s="728"/>
      <c r="AY137" s="728"/>
      <c r="AZ137" s="728"/>
    </row>
    <row r="138" spans="3:52" ht="15" customHeight="1">
      <c r="C138" s="713" t="s">
        <v>635</v>
      </c>
      <c r="D138" s="728"/>
      <c r="E138" s="728"/>
      <c r="F138" s="728"/>
      <c r="G138" s="728"/>
      <c r="H138" s="728"/>
      <c r="I138" s="728"/>
      <c r="J138" s="728"/>
      <c r="K138" s="728"/>
      <c r="L138" s="728"/>
      <c r="M138" s="728"/>
      <c r="N138" s="728"/>
      <c r="O138" s="728"/>
      <c r="P138" s="728"/>
      <c r="Q138" s="728"/>
      <c r="R138" s="728"/>
      <c r="S138" s="728"/>
      <c r="T138" s="728"/>
      <c r="U138" s="728"/>
      <c r="V138" s="728"/>
      <c r="W138" s="728"/>
      <c r="X138" s="728"/>
      <c r="Y138" s="728"/>
      <c r="Z138" s="728"/>
      <c r="AA138" s="728"/>
      <c r="AB138" s="728"/>
      <c r="AC138" s="728"/>
      <c r="AD138" s="728"/>
      <c r="AE138" s="728"/>
      <c r="AF138" s="728"/>
      <c r="AG138" s="728"/>
      <c r="AH138" s="728"/>
      <c r="AI138" s="728"/>
      <c r="AJ138" s="728"/>
      <c r="AK138" s="728"/>
      <c r="AL138" s="728"/>
      <c r="AM138" s="728"/>
      <c r="AN138" s="728"/>
      <c r="AO138" s="728"/>
      <c r="AP138" s="728"/>
      <c r="AQ138" s="728"/>
      <c r="AR138" s="728"/>
      <c r="AS138" s="728"/>
      <c r="AT138" s="728"/>
      <c r="AU138" s="728"/>
      <c r="AV138" s="728"/>
      <c r="AW138" s="728"/>
      <c r="AX138" s="728"/>
      <c r="AY138" s="728"/>
      <c r="AZ138" s="728"/>
    </row>
    <row r="139" spans="3:52" ht="15" customHeight="1"/>
    <row r="140" spans="3:52" ht="15" customHeight="1">
      <c r="C140" s="731" t="s">
        <v>634</v>
      </c>
      <c r="D140" s="732"/>
      <c r="E140" s="732"/>
      <c r="F140" s="732"/>
      <c r="G140" s="732"/>
      <c r="H140" s="732"/>
      <c r="I140" s="732"/>
      <c r="J140" s="732"/>
      <c r="K140" s="732"/>
      <c r="L140" s="732"/>
      <c r="M140" s="732"/>
      <c r="N140" s="732"/>
      <c r="O140" s="732"/>
      <c r="P140" s="732"/>
      <c r="Q140" s="732"/>
      <c r="R140" s="732"/>
      <c r="S140" s="732"/>
      <c r="T140" s="732"/>
      <c r="U140" s="732"/>
      <c r="V140" s="732"/>
      <c r="W140" s="732"/>
      <c r="X140" s="732"/>
      <c r="Y140" s="732"/>
      <c r="Z140" s="732"/>
      <c r="AA140" s="732"/>
      <c r="AB140" s="732"/>
      <c r="AC140" s="732"/>
      <c r="AD140" s="732"/>
      <c r="AE140" s="732"/>
      <c r="AF140" s="732"/>
      <c r="AG140" s="732"/>
      <c r="AH140" s="732"/>
      <c r="AI140" s="732"/>
      <c r="AJ140" s="732"/>
      <c r="AK140" s="732"/>
      <c r="AL140" s="732"/>
      <c r="AM140" s="732"/>
      <c r="AN140" s="732"/>
      <c r="AO140" s="732"/>
      <c r="AP140" s="732"/>
      <c r="AQ140" s="732"/>
      <c r="AR140" s="732"/>
      <c r="AS140" s="732"/>
      <c r="AT140" s="732"/>
      <c r="AU140" s="732"/>
      <c r="AV140" s="732"/>
      <c r="AW140" s="732"/>
      <c r="AX140" s="732"/>
      <c r="AY140" s="732"/>
      <c r="AZ140" s="733"/>
    </row>
    <row r="141" spans="3:52" ht="15" customHeight="1">
      <c r="C141" s="734"/>
      <c r="D141" s="735"/>
      <c r="E141" s="735"/>
      <c r="F141" s="735"/>
      <c r="G141" s="735"/>
      <c r="H141" s="1410" t="s">
        <v>616</v>
      </c>
      <c r="I141" s="1410"/>
      <c r="J141" s="1410"/>
      <c r="K141" s="1410" t="s">
        <v>617</v>
      </c>
      <c r="L141" s="1410"/>
      <c r="M141" s="1410"/>
      <c r="N141" s="1410" t="s">
        <v>618</v>
      </c>
      <c r="O141" s="1410"/>
      <c r="P141" s="1410"/>
      <c r="Q141" s="1410" t="s">
        <v>619</v>
      </c>
      <c r="R141" s="1410"/>
      <c r="S141" s="1410"/>
      <c r="T141" s="1410" t="s">
        <v>620</v>
      </c>
      <c r="U141" s="1410"/>
      <c r="V141" s="1410"/>
      <c r="W141" s="1410" t="s">
        <v>621</v>
      </c>
      <c r="X141" s="1410"/>
      <c r="Y141" s="1410"/>
      <c r="Z141" s="1410" t="s">
        <v>622</v>
      </c>
      <c r="AA141" s="1410"/>
      <c r="AB141" s="1410"/>
      <c r="AC141" s="1410" t="s">
        <v>623</v>
      </c>
      <c r="AD141" s="1410"/>
      <c r="AE141" s="1410"/>
      <c r="AF141" s="1410" t="s">
        <v>624</v>
      </c>
      <c r="AG141" s="1410"/>
      <c r="AH141" s="1410"/>
      <c r="AI141" s="1410" t="s">
        <v>625</v>
      </c>
      <c r="AJ141" s="1410"/>
      <c r="AK141" s="1410"/>
      <c r="AL141" s="1410" t="s">
        <v>626</v>
      </c>
      <c r="AM141" s="1410"/>
      <c r="AN141" s="1410"/>
      <c r="AO141" s="1410" t="s">
        <v>627</v>
      </c>
      <c r="AP141" s="1410"/>
      <c r="AQ141" s="1410"/>
      <c r="AR141" s="1410" t="s">
        <v>628</v>
      </c>
      <c r="AS141" s="1410"/>
      <c r="AT141" s="1410"/>
      <c r="AU141" s="1410" t="s">
        <v>629</v>
      </c>
      <c r="AV141" s="1410"/>
      <c r="AW141" s="1410"/>
      <c r="AX141" s="1410" t="s">
        <v>630</v>
      </c>
      <c r="AY141" s="1410"/>
      <c r="AZ141" s="1410"/>
    </row>
    <row r="142" spans="3:52" ht="15" customHeight="1">
      <c r="C142" s="1467" t="s">
        <v>632</v>
      </c>
      <c r="D142" s="1467"/>
      <c r="E142" s="1467"/>
      <c r="F142" s="1467"/>
      <c r="G142" s="1467"/>
      <c r="H142" s="1408">
        <f>'Age Pension additional calcs'!AA10</f>
        <v>26401</v>
      </c>
      <c r="I142" s="1408"/>
      <c r="J142" s="1408"/>
      <c r="K142" s="1408">
        <f>'Age Pension additional calcs'!AA11</f>
        <v>25075.148113102434</v>
      </c>
      <c r="L142" s="1408"/>
      <c r="M142" s="1408"/>
      <c r="N142" s="1408">
        <f>'Age Pension additional calcs'!AA12</f>
        <v>23623.98901927481</v>
      </c>
      <c r="O142" s="1408"/>
      <c r="P142" s="1408"/>
      <c r="Q142" s="1408">
        <f>'Age Pension additional calcs'!AA13</f>
        <v>22182.124643913456</v>
      </c>
      <c r="R142" s="1408"/>
      <c r="S142" s="1408"/>
      <c r="T142" s="1408">
        <f>'Age Pension additional calcs'!AA14</f>
        <v>20788.378356911689</v>
      </c>
      <c r="U142" s="1408"/>
      <c r="V142" s="1408"/>
      <c r="W142" s="1408">
        <f>'Age Pension additional calcs'!AA15</f>
        <v>19441.469393003608</v>
      </c>
      <c r="X142" s="1408"/>
      <c r="Y142" s="1408"/>
      <c r="Z142" s="1408">
        <f>'Age Pension additional calcs'!AA16</f>
        <v>18139.559024599483</v>
      </c>
      <c r="AA142" s="1408"/>
      <c r="AB142" s="1408"/>
      <c r="AC142" s="1408">
        <f>'Age Pension additional calcs'!AA17</f>
        <v>16880.205163389943</v>
      </c>
      <c r="AD142" s="1408"/>
      <c r="AE142" s="1408"/>
      <c r="AF142" s="1408">
        <f>'Age Pension additional calcs'!AA18</f>
        <v>15661.989971111057</v>
      </c>
      <c r="AG142" s="1408"/>
      <c r="AH142" s="1408"/>
      <c r="AI142" s="1408">
        <f>'Age Pension additional calcs'!AA19</f>
        <v>14483.232155251713</v>
      </c>
      <c r="AJ142" s="1408"/>
      <c r="AK142" s="1408"/>
      <c r="AL142" s="1408">
        <f>'Age Pension additional calcs'!AA20</f>
        <v>13378.706460612602</v>
      </c>
      <c r="AM142" s="1408"/>
      <c r="AN142" s="1408"/>
      <c r="AO142" s="1408">
        <f>'Age Pension additional calcs'!AA21</f>
        <v>12241.614400467972</v>
      </c>
      <c r="AP142" s="1408"/>
      <c r="AQ142" s="1408"/>
      <c r="AR142" s="1408">
        <f>'Age Pension additional calcs'!AA22</f>
        <v>11055.413272876134</v>
      </c>
      <c r="AS142" s="1408"/>
      <c r="AT142" s="1408"/>
      <c r="AU142" s="1408">
        <f>'Age Pension additional calcs'!AA23</f>
        <v>9818.5908382800299</v>
      </c>
      <c r="AV142" s="1408"/>
      <c r="AW142" s="1408"/>
      <c r="AX142" s="1408">
        <f>'Age Pension additional calcs'!AA24</f>
        <v>8519.0785738910217</v>
      </c>
      <c r="AY142" s="1408"/>
      <c r="AZ142" s="1408"/>
    </row>
    <row r="143" spans="3:52" ht="15" customHeight="1">
      <c r="C143" s="1469"/>
      <c r="D143" s="1469"/>
      <c r="E143" s="1469"/>
      <c r="F143" s="1469"/>
      <c r="G143" s="1469"/>
      <c r="H143" s="1409"/>
      <c r="I143" s="1409"/>
      <c r="J143" s="1409"/>
      <c r="K143" s="1409"/>
      <c r="L143" s="1409"/>
      <c r="M143" s="1409"/>
      <c r="N143" s="1409"/>
      <c r="O143" s="1409"/>
      <c r="P143" s="1409"/>
      <c r="Q143" s="1409"/>
      <c r="R143" s="1409"/>
      <c r="S143" s="1409"/>
      <c r="T143" s="1409"/>
      <c r="U143" s="1409"/>
      <c r="V143" s="1409"/>
      <c r="W143" s="1409"/>
      <c r="X143" s="1409"/>
      <c r="Y143" s="1409"/>
      <c r="Z143" s="1409"/>
      <c r="AA143" s="1409"/>
      <c r="AB143" s="1409"/>
      <c r="AC143" s="1409"/>
      <c r="AD143" s="1409"/>
      <c r="AE143" s="1409"/>
      <c r="AF143" s="1409"/>
      <c r="AG143" s="1409"/>
      <c r="AH143" s="1409"/>
      <c r="AI143" s="1409"/>
      <c r="AJ143" s="1409"/>
      <c r="AK143" s="1409"/>
      <c r="AL143" s="1409"/>
      <c r="AM143" s="1409"/>
      <c r="AN143" s="1409"/>
      <c r="AO143" s="1409"/>
      <c r="AP143" s="1409"/>
      <c r="AQ143" s="1409"/>
      <c r="AR143" s="1409"/>
      <c r="AS143" s="1409"/>
      <c r="AT143" s="1409"/>
      <c r="AU143" s="1409"/>
      <c r="AV143" s="1409"/>
      <c r="AW143" s="1409"/>
      <c r="AX143" s="1409"/>
      <c r="AY143" s="1409"/>
      <c r="AZ143" s="1409"/>
    </row>
    <row r="144" spans="3:52" ht="15" customHeight="1">
      <c r="C144" s="1468" t="s">
        <v>636</v>
      </c>
      <c r="D144" s="1468"/>
      <c r="E144" s="1468"/>
      <c r="F144" s="1468"/>
      <c r="G144" s="1468"/>
      <c r="H144" s="1408">
        <f>'Age Pension additional calcs'!AB10</f>
        <v>865000</v>
      </c>
      <c r="I144" s="1408"/>
      <c r="J144" s="1408"/>
      <c r="K144" s="1408">
        <f>'Age Pension additional calcs'!AB11</f>
        <v>824771.37499999988</v>
      </c>
      <c r="L144" s="1408"/>
      <c r="M144" s="1408"/>
      <c r="N144" s="1408">
        <f>'Age Pension additional calcs'!AB12</f>
        <v>780719.43749999988</v>
      </c>
      <c r="O144" s="1408"/>
      <c r="P144" s="1408"/>
      <c r="Q144" s="1408">
        <f>'Age Pension additional calcs'!AB13</f>
        <v>736986.25257812487</v>
      </c>
      <c r="R144" s="1408"/>
      <c r="S144" s="1408"/>
      <c r="T144" s="1408">
        <f>'Age Pension additional calcs'!AB14</f>
        <v>694767.42868164042</v>
      </c>
      <c r="U144" s="1408"/>
      <c r="V144" s="1408"/>
      <c r="W144" s="1408">
        <f>'Age Pension additional calcs'!AB15</f>
        <v>654027.4885846189</v>
      </c>
      <c r="X144" s="1408"/>
      <c r="Y144" s="1408"/>
      <c r="Z144" s="1408">
        <f>'Age Pension additional calcs'!AB16</f>
        <v>614701.29479083349</v>
      </c>
      <c r="AA144" s="1408"/>
      <c r="AB144" s="1408"/>
      <c r="AC144" s="1408">
        <f>'Age Pension additional calcs'!AB17</f>
        <v>576720.61053597496</v>
      </c>
      <c r="AD144" s="1408"/>
      <c r="AE144" s="1408"/>
      <c r="AF144" s="1408">
        <f>'Age Pension additional calcs'!AB18</f>
        <v>540044.90029229596</v>
      </c>
      <c r="AG144" s="1408"/>
      <c r="AH144" s="1408"/>
      <c r="AI144" s="1408">
        <f>'Age Pension additional calcs'!AB19</f>
        <v>504615.57163705368</v>
      </c>
      <c r="AJ144" s="1408"/>
      <c r="AK144" s="1408"/>
      <c r="AL144" s="1408">
        <f>'Age Pension additional calcs'!AB20</f>
        <v>471506.34100928617</v>
      </c>
      <c r="AM144" s="1408"/>
      <c r="AN144" s="1408"/>
      <c r="AO144" s="1408">
        <f>'Age Pension additional calcs'!AB21</f>
        <v>437436.57084436406</v>
      </c>
      <c r="AP144" s="1408"/>
      <c r="AQ144" s="1408"/>
      <c r="AR144" s="1408">
        <f>'Age Pension additional calcs'!AB22</f>
        <v>401886.40290539985</v>
      </c>
      <c r="AS144" s="1408"/>
      <c r="AT144" s="1408"/>
      <c r="AU144" s="1408">
        <f>'Age Pension additional calcs'!AB23</f>
        <v>364822.94802020217</v>
      </c>
      <c r="AV144" s="1408"/>
      <c r="AW144" s="1408"/>
      <c r="AX144" s="1408">
        <f>'Age Pension additional calcs'!AB24</f>
        <v>325867.08746207482</v>
      </c>
      <c r="AY144" s="1408"/>
      <c r="AZ144" s="1408"/>
    </row>
    <row r="145" spans="3:80" ht="15" customHeight="1">
      <c r="C145" s="1469"/>
      <c r="D145" s="1469"/>
      <c r="E145" s="1469"/>
      <c r="F145" s="1469"/>
      <c r="G145" s="1469"/>
      <c r="H145" s="1409"/>
      <c r="I145" s="1409"/>
      <c r="J145" s="1409"/>
      <c r="K145" s="1409"/>
      <c r="L145" s="1409"/>
      <c r="M145" s="1409"/>
      <c r="N145" s="1409"/>
      <c r="O145" s="1409"/>
      <c r="P145" s="1409"/>
      <c r="Q145" s="1409"/>
      <c r="R145" s="1409"/>
      <c r="S145" s="1409"/>
      <c r="T145" s="1409"/>
      <c r="U145" s="1409"/>
      <c r="V145" s="1409"/>
      <c r="W145" s="1409"/>
      <c r="X145" s="1409"/>
      <c r="Y145" s="1409"/>
      <c r="Z145" s="1409"/>
      <c r="AA145" s="1409"/>
      <c r="AB145" s="1409"/>
      <c r="AC145" s="1409"/>
      <c r="AD145" s="1409"/>
      <c r="AE145" s="1409"/>
      <c r="AF145" s="1409"/>
      <c r="AG145" s="1409"/>
      <c r="AH145" s="1409"/>
      <c r="AI145" s="1409"/>
      <c r="AJ145" s="1409"/>
      <c r="AK145" s="1409"/>
      <c r="AL145" s="1409"/>
      <c r="AM145" s="1409"/>
      <c r="AN145" s="1409"/>
      <c r="AO145" s="1409"/>
      <c r="AP145" s="1409"/>
      <c r="AQ145" s="1409"/>
      <c r="AR145" s="1409"/>
      <c r="AS145" s="1409"/>
      <c r="AT145" s="1409"/>
      <c r="AU145" s="1409"/>
      <c r="AV145" s="1409"/>
      <c r="AW145" s="1409"/>
      <c r="AX145" s="1409"/>
      <c r="AY145" s="1409"/>
      <c r="AZ145" s="1409"/>
    </row>
    <row r="146" spans="3:80" ht="15" customHeight="1">
      <c r="C146" s="1468" t="s">
        <v>637</v>
      </c>
      <c r="D146" s="1468"/>
      <c r="E146" s="1468"/>
      <c r="F146" s="1468"/>
      <c r="G146" s="1468"/>
      <c r="H146" s="1465" t="str">
        <f>'Deterministic Output VicSup'!AC3</f>
        <v>Assets Test</v>
      </c>
      <c r="I146" s="1465"/>
      <c r="J146" s="1465"/>
      <c r="K146" s="1465" t="str">
        <f>'Deterministic Output VicSup'!AC4</f>
        <v>Assets Test</v>
      </c>
      <c r="L146" s="1465"/>
      <c r="M146" s="1465"/>
      <c r="N146" s="1465" t="str">
        <f>'Deterministic Output VicSup'!AC5</f>
        <v>Assets Test</v>
      </c>
      <c r="O146" s="1465"/>
      <c r="P146" s="1465"/>
      <c r="Q146" s="1465" t="str">
        <f>'Deterministic Output VicSup'!AC6</f>
        <v>Assets Test</v>
      </c>
      <c r="R146" s="1465"/>
      <c r="S146" s="1465"/>
      <c r="T146" s="1465" t="str">
        <f>'Deterministic Output VicSup'!AC7</f>
        <v>Assets Test</v>
      </c>
      <c r="U146" s="1465"/>
      <c r="V146" s="1465"/>
      <c r="W146" s="1465" t="str">
        <f>'Deterministic Output VicSup'!AC8</f>
        <v>Assets Test</v>
      </c>
      <c r="X146" s="1465"/>
      <c r="Y146" s="1465"/>
      <c r="Z146" s="1465" t="str">
        <f>'Deterministic Output VicSup'!AC9</f>
        <v>Assets Test</v>
      </c>
      <c r="AA146" s="1465"/>
      <c r="AB146" s="1465"/>
      <c r="AC146" s="1465" t="str">
        <f>'Deterministic Output VicSup'!AC10</f>
        <v>Assets Test</v>
      </c>
      <c r="AD146" s="1465"/>
      <c r="AE146" s="1465"/>
      <c r="AF146" s="1465" t="str">
        <f>'Deterministic Output VicSup'!AC11</f>
        <v>Assets Test</v>
      </c>
      <c r="AG146" s="1465"/>
      <c r="AH146" s="1465"/>
      <c r="AI146" s="1465" t="str">
        <f>'Deterministic Output VicSup'!AC12</f>
        <v>Assets Test</v>
      </c>
      <c r="AJ146" s="1465"/>
      <c r="AK146" s="1465"/>
      <c r="AL146" s="1465" t="str">
        <f>'Deterministic Output VicSup'!AC13</f>
        <v>Income Test</v>
      </c>
      <c r="AM146" s="1465"/>
      <c r="AN146" s="1465"/>
      <c r="AO146" s="1465" t="str">
        <f>'Deterministic Output VicSup'!AC14</f>
        <v>Income Test</v>
      </c>
      <c r="AP146" s="1465"/>
      <c r="AQ146" s="1465"/>
      <c r="AR146" s="1465" t="str">
        <f>'Deterministic Output VicSup'!AC15</f>
        <v>Income Test</v>
      </c>
      <c r="AS146" s="1465"/>
      <c r="AT146" s="1465"/>
      <c r="AU146" s="1465" t="str">
        <f>'Deterministic Output VicSup'!AC16</f>
        <v>Full</v>
      </c>
      <c r="AV146" s="1465"/>
      <c r="AW146" s="1465"/>
      <c r="AX146" s="1465" t="str">
        <f>'Deterministic Output VicSup'!AC17</f>
        <v>Full</v>
      </c>
      <c r="AY146" s="1465"/>
      <c r="AZ146" s="1465"/>
    </row>
    <row r="147" spans="3:80" ht="15" customHeight="1">
      <c r="C147" s="1469"/>
      <c r="D147" s="1469"/>
      <c r="E147" s="1469"/>
      <c r="F147" s="1469"/>
      <c r="G147" s="1469"/>
      <c r="H147" s="1466"/>
      <c r="I147" s="1466"/>
      <c r="J147" s="1466"/>
      <c r="K147" s="1466"/>
      <c r="L147" s="1466"/>
      <c r="M147" s="1466"/>
      <c r="N147" s="1466"/>
      <c r="O147" s="1466"/>
      <c r="P147" s="1466"/>
      <c r="Q147" s="1466"/>
      <c r="R147" s="1466"/>
      <c r="S147" s="1466"/>
      <c r="T147" s="1466"/>
      <c r="U147" s="1466"/>
      <c r="V147" s="1466"/>
      <c r="W147" s="1466"/>
      <c r="X147" s="1466"/>
      <c r="Y147" s="1466"/>
      <c r="Z147" s="1466"/>
      <c r="AA147" s="1466"/>
      <c r="AB147" s="1466"/>
      <c r="AC147" s="1466"/>
      <c r="AD147" s="1466"/>
      <c r="AE147" s="1466"/>
      <c r="AF147" s="1466"/>
      <c r="AG147" s="1466"/>
      <c r="AH147" s="1466"/>
      <c r="AI147" s="1466"/>
      <c r="AJ147" s="1466"/>
      <c r="AK147" s="1466"/>
      <c r="AL147" s="1466"/>
      <c r="AM147" s="1466"/>
      <c r="AN147" s="1466"/>
      <c r="AO147" s="1466"/>
      <c r="AP147" s="1466"/>
      <c r="AQ147" s="1466"/>
      <c r="AR147" s="1466"/>
      <c r="AS147" s="1466"/>
      <c r="AT147" s="1466"/>
      <c r="AU147" s="1466"/>
      <c r="AV147" s="1466"/>
      <c r="AW147" s="1466"/>
      <c r="AX147" s="1466"/>
      <c r="AY147" s="1466"/>
      <c r="AZ147" s="1466"/>
    </row>
    <row r="148" spans="3:80" ht="15" customHeight="1">
      <c r="C148" s="1120"/>
      <c r="D148" s="1120"/>
      <c r="E148" s="1120"/>
      <c r="F148" s="1120"/>
      <c r="G148" s="1120"/>
      <c r="H148" s="737"/>
      <c r="I148" s="737"/>
      <c r="J148" s="737"/>
      <c r="K148" s="737"/>
      <c r="L148" s="737"/>
      <c r="M148" s="737"/>
      <c r="N148" s="737"/>
      <c r="O148" s="737"/>
      <c r="P148" s="737"/>
      <c r="Q148" s="737"/>
      <c r="R148" s="737"/>
      <c r="S148" s="737"/>
      <c r="T148" s="737"/>
      <c r="U148" s="737"/>
      <c r="V148" s="737"/>
      <c r="W148" s="737"/>
      <c r="X148" s="737"/>
      <c r="Y148" s="737"/>
      <c r="Z148" s="737"/>
      <c r="AA148" s="737"/>
      <c r="AB148" s="737"/>
      <c r="AC148" s="737"/>
      <c r="AD148" s="737"/>
      <c r="AE148" s="737"/>
      <c r="AF148" s="737"/>
      <c r="AG148" s="737"/>
      <c r="AH148" s="737"/>
      <c r="AI148" s="737"/>
      <c r="AJ148" s="737"/>
      <c r="AK148" s="737"/>
      <c r="AL148" s="737"/>
      <c r="AM148" s="737"/>
      <c r="AN148" s="737"/>
      <c r="AO148" s="737"/>
      <c r="AP148" s="737"/>
      <c r="AQ148" s="737"/>
      <c r="AR148" s="737"/>
      <c r="AS148" s="737"/>
      <c r="AT148" s="737"/>
      <c r="AU148" s="737"/>
      <c r="AV148" s="737"/>
      <c r="AW148" s="737"/>
      <c r="AX148" s="737"/>
      <c r="AY148" s="737"/>
      <c r="AZ148" s="737"/>
    </row>
    <row r="149" spans="3:80" ht="15" customHeight="1"/>
    <row r="150" spans="3:80" ht="15" customHeight="1">
      <c r="C150" s="714"/>
      <c r="D150" s="714"/>
      <c r="E150" s="714"/>
      <c r="F150" s="714"/>
      <c r="G150" s="714"/>
      <c r="H150" s="714"/>
      <c r="I150" s="714"/>
      <c r="J150" s="714"/>
      <c r="K150" s="714"/>
      <c r="L150" s="714"/>
      <c r="M150" s="714"/>
      <c r="N150" s="714"/>
      <c r="O150" s="714"/>
      <c r="P150" s="714"/>
      <c r="Q150" s="714"/>
      <c r="R150" s="714"/>
      <c r="S150" s="714"/>
      <c r="T150" s="714"/>
      <c r="U150" s="714"/>
      <c r="V150" s="714"/>
      <c r="W150" s="714"/>
      <c r="X150" s="714"/>
      <c r="Y150" s="714"/>
      <c r="Z150" s="715"/>
      <c r="AA150" s="730"/>
      <c r="AB150" s="714"/>
      <c r="AC150" s="714"/>
      <c r="AD150" s="714"/>
      <c r="AE150" s="714"/>
      <c r="AF150" s="714"/>
      <c r="AG150" s="714"/>
      <c r="AH150" s="714"/>
      <c r="AI150" s="714"/>
      <c r="AJ150" s="714"/>
      <c r="AK150" s="714"/>
      <c r="AL150" s="714"/>
      <c r="AM150" s="714"/>
      <c r="AN150" s="714"/>
      <c r="AO150" s="714"/>
      <c r="AP150" s="714"/>
      <c r="AQ150" s="714"/>
      <c r="AR150" s="714"/>
      <c r="AS150" s="714"/>
      <c r="AT150" s="716" t="str">
        <f>AT78</f>
        <v/>
      </c>
      <c r="AU150" s="717"/>
      <c r="AV150" s="1443" t="s">
        <v>562</v>
      </c>
      <c r="AW150" s="1443"/>
      <c r="AX150" s="1443"/>
      <c r="AY150" s="1443"/>
      <c r="AZ150" s="1443"/>
    </row>
    <row r="151" spans="3:80" ht="15" customHeight="1"/>
    <row r="152" spans="3:80" ht="15" customHeight="1">
      <c r="Z152" s="692"/>
      <c r="AA152" s="692"/>
    </row>
    <row r="153" spans="3:80" ht="26.25">
      <c r="C153" s="693" t="s">
        <v>570</v>
      </c>
      <c r="Z153" s="692"/>
      <c r="AA153" s="692"/>
    </row>
    <row r="154" spans="3:80" ht="15" customHeight="1">
      <c r="Z154" s="692"/>
      <c r="AA154" s="692"/>
    </row>
    <row r="155" spans="3:80" ht="22.5" customHeight="1">
      <c r="C155" s="694" t="s">
        <v>614</v>
      </c>
      <c r="D155" s="695"/>
      <c r="E155" s="695"/>
      <c r="F155" s="695"/>
      <c r="G155" s="695"/>
      <c r="H155" s="695"/>
      <c r="I155" s="695"/>
      <c r="J155" s="695"/>
      <c r="K155" s="695"/>
      <c r="L155" s="695"/>
      <c r="M155" s="695"/>
      <c r="N155" s="695"/>
      <c r="O155" s="695"/>
      <c r="P155" s="695"/>
      <c r="Q155" s="695"/>
      <c r="R155" s="695"/>
      <c r="S155" s="695"/>
      <c r="T155" s="695"/>
      <c r="U155" s="695"/>
      <c r="V155" s="695"/>
      <c r="W155" s="695"/>
      <c r="X155" s="695"/>
      <c r="Y155" s="695"/>
      <c r="Z155" s="696"/>
      <c r="AA155" s="696"/>
      <c r="AB155" s="695"/>
      <c r="AC155" s="695"/>
      <c r="AD155" s="695"/>
      <c r="AE155" s="695"/>
      <c r="AF155" s="695"/>
      <c r="AG155" s="695"/>
      <c r="AH155" s="695"/>
      <c r="AI155" s="695"/>
      <c r="AJ155" s="695"/>
      <c r="AK155" s="695"/>
      <c r="AL155" s="695"/>
      <c r="AM155" s="695"/>
      <c r="AN155" s="695"/>
      <c r="AO155" s="695"/>
      <c r="AP155" s="695"/>
      <c r="AQ155" s="695"/>
      <c r="AR155" s="695"/>
      <c r="AS155" s="718"/>
      <c r="AT155" s="1444"/>
      <c r="AU155" s="1444"/>
      <c r="AV155" s="1444"/>
      <c r="AW155" s="1444"/>
      <c r="AX155" s="1444"/>
      <c r="AY155" s="1444"/>
      <c r="AZ155" s="1444"/>
    </row>
    <row r="156" spans="3:80" ht="15" customHeight="1"/>
    <row r="157" spans="3:80" ht="15" customHeight="1">
      <c r="C157" s="713" t="s">
        <v>1226</v>
      </c>
    </row>
    <row r="158" spans="3:80" ht="15" customHeight="1">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row>
    <row r="159" spans="3:80" ht="15" customHeight="1">
      <c r="C159" s="731" t="s">
        <v>634</v>
      </c>
      <c r="D159" s="732"/>
      <c r="E159" s="732"/>
      <c r="F159" s="732"/>
      <c r="G159" s="732"/>
      <c r="H159" s="732"/>
      <c r="I159" s="732"/>
      <c r="J159" s="732"/>
      <c r="K159" s="732"/>
      <c r="L159" s="732"/>
      <c r="M159" s="732"/>
      <c r="N159" s="732"/>
      <c r="O159" s="732"/>
      <c r="P159" s="732"/>
      <c r="Q159" s="732"/>
      <c r="R159" s="732"/>
      <c r="S159" s="732"/>
      <c r="T159" s="732"/>
      <c r="U159" s="732"/>
      <c r="V159" s="732"/>
      <c r="W159" s="732"/>
      <c r="X159" s="732"/>
      <c r="Y159" s="732"/>
      <c r="Z159" s="732"/>
      <c r="AA159" s="732"/>
      <c r="AB159" s="732"/>
      <c r="AC159" s="732"/>
      <c r="AD159" s="732"/>
      <c r="AE159" s="732"/>
      <c r="AF159" s="732"/>
      <c r="AG159" s="732"/>
      <c r="AH159" s="732"/>
      <c r="AI159" s="732"/>
      <c r="AJ159" s="732"/>
      <c r="AK159" s="732"/>
      <c r="AL159" s="732"/>
      <c r="AM159" s="732"/>
      <c r="AN159" s="732"/>
      <c r="AO159" s="732"/>
      <c r="AP159" s="732"/>
      <c r="AQ159" s="732"/>
      <c r="AR159" s="732"/>
      <c r="AS159" s="732"/>
      <c r="AT159" s="732"/>
      <c r="AU159" s="732"/>
      <c r="AV159" s="732"/>
      <c r="AW159" s="732"/>
      <c r="AX159" s="732"/>
      <c r="AY159" s="732"/>
      <c r="AZ159" s="732"/>
      <c r="BA159" s="738"/>
    </row>
    <row r="160" spans="3:80" ht="15" customHeight="1">
      <c r="C160" s="734"/>
      <c r="D160" s="735"/>
      <c r="E160" s="735"/>
      <c r="F160" s="735"/>
      <c r="G160" s="735"/>
      <c r="H160" s="1410" t="s">
        <v>616</v>
      </c>
      <c r="I160" s="1410"/>
      <c r="J160" s="1410"/>
      <c r="K160" s="1410" t="s">
        <v>617</v>
      </c>
      <c r="L160" s="1410"/>
      <c r="M160" s="1410"/>
      <c r="N160" s="1410" t="s">
        <v>618</v>
      </c>
      <c r="O160" s="1410"/>
      <c r="P160" s="1410"/>
      <c r="Q160" s="1410" t="s">
        <v>619</v>
      </c>
      <c r="R160" s="1410"/>
      <c r="S160" s="1410"/>
      <c r="T160" s="1410" t="s">
        <v>620</v>
      </c>
      <c r="U160" s="1410"/>
      <c r="V160" s="1410"/>
      <c r="W160" s="1410" t="s">
        <v>621</v>
      </c>
      <c r="X160" s="1410"/>
      <c r="Y160" s="1410"/>
      <c r="Z160" s="1410" t="s">
        <v>622</v>
      </c>
      <c r="AA160" s="1410"/>
      <c r="AB160" s="1410"/>
      <c r="AC160" s="1410" t="s">
        <v>623</v>
      </c>
      <c r="AD160" s="1410"/>
      <c r="AE160" s="1410"/>
      <c r="AF160" s="1410" t="s">
        <v>624</v>
      </c>
      <c r="AG160" s="1410"/>
      <c r="AH160" s="1410"/>
      <c r="AI160" s="1410" t="s">
        <v>625</v>
      </c>
      <c r="AJ160" s="1410"/>
      <c r="AK160" s="1410"/>
      <c r="AL160" s="1410" t="s">
        <v>626</v>
      </c>
      <c r="AM160" s="1410"/>
      <c r="AN160" s="1410"/>
      <c r="AO160" s="1410" t="s">
        <v>627</v>
      </c>
      <c r="AP160" s="1410"/>
      <c r="AQ160" s="1410"/>
      <c r="AR160" s="1410" t="s">
        <v>628</v>
      </c>
      <c r="AS160" s="1410"/>
      <c r="AT160" s="1410"/>
      <c r="AU160" s="1410" t="s">
        <v>629</v>
      </c>
      <c r="AV160" s="1410"/>
      <c r="AW160" s="1410"/>
      <c r="AX160" s="1410" t="s">
        <v>630</v>
      </c>
      <c r="AY160" s="1410"/>
      <c r="AZ160" s="1410"/>
      <c r="BN160" s="736"/>
      <c r="BO160" s="736"/>
      <c r="BP160" s="736"/>
      <c r="BQ160" s="736"/>
      <c r="BR160" s="736"/>
      <c r="BS160" s="736"/>
      <c r="BT160" s="736"/>
      <c r="BU160" s="736"/>
      <c r="BV160" s="736"/>
      <c r="BW160" s="736"/>
      <c r="BX160" s="736"/>
      <c r="BY160" s="736"/>
      <c r="BZ160" s="736"/>
      <c r="CA160" s="736"/>
      <c r="CB160" s="736"/>
    </row>
    <row r="161" spans="3:52" ht="15" customHeight="1">
      <c r="C161" s="1467" t="s">
        <v>632</v>
      </c>
      <c r="D161" s="1467"/>
      <c r="E161" s="1467"/>
      <c r="F161" s="1467"/>
      <c r="G161" s="1467"/>
      <c r="H161" s="1408">
        <f>'Age Pension additional calcs'!AI10</f>
        <v>70000</v>
      </c>
      <c r="I161" s="1408"/>
      <c r="J161" s="1408"/>
      <c r="K161" s="1408">
        <f>'Age Pension additional calcs'!AI11</f>
        <v>71750</v>
      </c>
      <c r="L161" s="1408"/>
      <c r="M161" s="1408"/>
      <c r="N161" s="1408">
        <f>'Age Pension additional calcs'!AI12</f>
        <v>73543.75</v>
      </c>
      <c r="O161" s="1408"/>
      <c r="P161" s="1408"/>
      <c r="Q161" s="1408">
        <f>'Age Pension additional calcs'!AI13</f>
        <v>75382.343749999985</v>
      </c>
      <c r="R161" s="1408"/>
      <c r="S161" s="1408"/>
      <c r="T161" s="1408">
        <f>'Age Pension additional calcs'!AI14</f>
        <v>77266.902343749985</v>
      </c>
      <c r="U161" s="1408"/>
      <c r="V161" s="1408"/>
      <c r="W161" s="1408">
        <f>'Age Pension additional calcs'!AI15</f>
        <v>79198.574902343724</v>
      </c>
      <c r="X161" s="1408"/>
      <c r="Y161" s="1408"/>
      <c r="Z161" s="1408">
        <f>'Age Pension additional calcs'!AI16</f>
        <v>81178.539274902316</v>
      </c>
      <c r="AA161" s="1408"/>
      <c r="AB161" s="1408"/>
      <c r="AC161" s="1408">
        <f>'Age Pension additional calcs'!AI17</f>
        <v>83208.002756774877</v>
      </c>
      <c r="AD161" s="1408"/>
      <c r="AE161" s="1408"/>
      <c r="AF161" s="1408">
        <f>'Age Pension additional calcs'!AI18</f>
        <v>85288.202825694243</v>
      </c>
      <c r="AG161" s="1408"/>
      <c r="AH161" s="1408"/>
      <c r="AI161" s="1408">
        <f>'Age Pension additional calcs'!AI19</f>
        <v>87420.407896336576</v>
      </c>
      <c r="AJ161" s="1408"/>
      <c r="AK161" s="1408"/>
      <c r="AL161" s="1408">
        <f>'Age Pension additional calcs'!AI20</f>
        <v>89605.918093745</v>
      </c>
      <c r="AM161" s="1408"/>
      <c r="AN161" s="1408"/>
      <c r="AO161" s="1408">
        <f>'Age Pension additional calcs'!AI21</f>
        <v>91846.066046088614</v>
      </c>
      <c r="AP161" s="1408"/>
      <c r="AQ161" s="1408"/>
      <c r="AR161" s="1408">
        <f>'Age Pension additional calcs'!AI22</f>
        <v>94142.21769724082</v>
      </c>
      <c r="AS161" s="1408"/>
      <c r="AT161" s="1408"/>
      <c r="AU161" s="1408">
        <f>'Age Pension additional calcs'!AI23</f>
        <v>96495.773139671845</v>
      </c>
      <c r="AV161" s="1408"/>
      <c r="AW161" s="1408"/>
      <c r="AX161" s="1408">
        <f>'Age Pension additional calcs'!AI24</f>
        <v>98908.167468163621</v>
      </c>
      <c r="AY161" s="1408"/>
      <c r="AZ161" s="1408"/>
    </row>
    <row r="162" spans="3:52" ht="15" customHeight="1">
      <c r="C162" s="1469"/>
      <c r="D162" s="1469"/>
      <c r="E162" s="1469"/>
      <c r="F162" s="1469"/>
      <c r="G162" s="1469"/>
      <c r="H162" s="1409"/>
      <c r="I162" s="1409"/>
      <c r="J162" s="1409"/>
      <c r="K162" s="1409"/>
      <c r="L162" s="1409"/>
      <c r="M162" s="1409"/>
      <c r="N162" s="1409"/>
      <c r="O162" s="1409"/>
      <c r="P162" s="1409"/>
      <c r="Q162" s="1409"/>
      <c r="R162" s="1409"/>
      <c r="S162" s="1409"/>
      <c r="T162" s="1409"/>
      <c r="U162" s="1409"/>
      <c r="V162" s="1409"/>
      <c r="W162" s="1409"/>
      <c r="X162" s="1409"/>
      <c r="Y162" s="1409"/>
      <c r="Z162" s="1409"/>
      <c r="AA162" s="1409"/>
      <c r="AB162" s="1409"/>
      <c r="AC162" s="1409"/>
      <c r="AD162" s="1409"/>
      <c r="AE162" s="1409"/>
      <c r="AF162" s="1409"/>
      <c r="AG162" s="1409"/>
      <c r="AH162" s="1409"/>
      <c r="AI162" s="1409"/>
      <c r="AJ162" s="1409"/>
      <c r="AK162" s="1409"/>
      <c r="AL162" s="1409"/>
      <c r="AM162" s="1409"/>
      <c r="AN162" s="1409"/>
      <c r="AO162" s="1409"/>
      <c r="AP162" s="1409"/>
      <c r="AQ162" s="1409"/>
      <c r="AR162" s="1409"/>
      <c r="AS162" s="1409"/>
      <c r="AT162" s="1409"/>
      <c r="AU162" s="1409"/>
      <c r="AV162" s="1409"/>
      <c r="AW162" s="1409"/>
      <c r="AX162" s="1499"/>
      <c r="AY162" s="1499"/>
      <c r="AZ162" s="1499"/>
    </row>
    <row r="163" spans="3:52" ht="15" customHeight="1">
      <c r="C163" s="1468" t="s">
        <v>875</v>
      </c>
      <c r="D163" s="1468"/>
      <c r="E163" s="1468"/>
      <c r="F163" s="1468"/>
      <c r="G163" s="1468"/>
      <c r="H163" s="1408">
        <f>'Age Pension additional calcs'!AJ11</f>
        <v>803234.13023345603</v>
      </c>
      <c r="I163" s="1408"/>
      <c r="J163" s="1408"/>
      <c r="K163" s="1408">
        <f>'Age Pension additional calcs'!AJ12</f>
        <v>761290.34454998234</v>
      </c>
      <c r="L163" s="1408"/>
      <c r="M163" s="1408"/>
      <c r="N163" s="1408">
        <f>'Age Pension additional calcs'!AJ13</f>
        <v>719111.98985657026</v>
      </c>
      <c r="O163" s="1408"/>
      <c r="P163" s="1408"/>
      <c r="Q163" s="1408">
        <f>'Age Pension additional calcs'!AJ14</f>
        <v>678807.21238236537</v>
      </c>
      <c r="R163" s="1408"/>
      <c r="S163" s="1408"/>
      <c r="T163" s="1408">
        <f>'Age Pension additional calcs'!AJ15</f>
        <v>640660.89995593531</v>
      </c>
      <c r="U163" s="1408"/>
      <c r="V163" s="1408"/>
      <c r="W163" s="1408">
        <f>'Age Pension additional calcs'!AJ16</f>
        <v>605588.11266911018</v>
      </c>
      <c r="X163" s="1408"/>
      <c r="Y163" s="1408"/>
      <c r="Z163" s="1408">
        <f>'Age Pension additional calcs'!AJ17</f>
        <v>572777.9348552234</v>
      </c>
      <c r="AA163" s="1408"/>
      <c r="AB163" s="1408"/>
      <c r="AC163" s="1408">
        <f>'Age Pension additional calcs'!AJ18</f>
        <v>542165.14233013568</v>
      </c>
      <c r="AD163" s="1408"/>
      <c r="AE163" s="1408"/>
      <c r="AF163" s="1408">
        <f>'Age Pension additional calcs'!AJ19</f>
        <v>513666.89625755476</v>
      </c>
      <c r="AG163" s="1408"/>
      <c r="AH163" s="1408"/>
      <c r="AI163" s="1408">
        <f>'Age Pension additional calcs'!AJ20</f>
        <v>486746.96468553686</v>
      </c>
      <c r="AJ163" s="1408"/>
      <c r="AK163" s="1408"/>
      <c r="AL163" s="1408">
        <f>'Age Pension additional calcs'!AJ21</f>
        <v>459009.06431185675</v>
      </c>
      <c r="AM163" s="1408"/>
      <c r="AN163" s="1408"/>
      <c r="AO163" s="1408">
        <f>'Age Pension additional calcs'!AJ22</f>
        <v>429277.93846222508</v>
      </c>
      <c r="AP163" s="1408"/>
      <c r="AQ163" s="1408"/>
      <c r="AR163" s="1408">
        <f>'Age Pension additional calcs'!AJ23</f>
        <v>397463.29119265871</v>
      </c>
      <c r="AS163" s="1408"/>
      <c r="AT163" s="1408"/>
      <c r="AU163" s="1408">
        <f>'Age Pension additional calcs'!AJ24</f>
        <v>363471.29768524849</v>
      </c>
      <c r="AV163" s="1408"/>
      <c r="AW163" s="1408"/>
      <c r="AX163" s="1497" t="str">
        <f ca="1">""&amp;TEXT('Age Pension additional calcs'!AJ25+'Age Pension additional calcs'!AL5,"$#,###")&amp;""&amp;IF('Age Pension additional calcs'!AO2="Yes","*","")&amp;""</f>
        <v>$327,205</v>
      </c>
      <c r="AY163" s="1497"/>
      <c r="AZ163" s="1497"/>
    </row>
    <row r="164" spans="3:52" ht="15" customHeight="1">
      <c r="C164" s="1469"/>
      <c r="D164" s="1469"/>
      <c r="E164" s="1469"/>
      <c r="F164" s="1469"/>
      <c r="G164" s="1469"/>
      <c r="H164" s="1409"/>
      <c r="I164" s="1409"/>
      <c r="J164" s="1409"/>
      <c r="K164" s="1409"/>
      <c r="L164" s="1409"/>
      <c r="M164" s="1409"/>
      <c r="N164" s="1409"/>
      <c r="O164" s="1409"/>
      <c r="P164" s="1409"/>
      <c r="Q164" s="1409"/>
      <c r="R164" s="1409"/>
      <c r="S164" s="1409"/>
      <c r="T164" s="1409"/>
      <c r="U164" s="1409"/>
      <c r="V164" s="1409"/>
      <c r="W164" s="1409"/>
      <c r="X164" s="1409"/>
      <c r="Y164" s="1409"/>
      <c r="Z164" s="1409"/>
      <c r="AA164" s="1409"/>
      <c r="AB164" s="1409"/>
      <c r="AC164" s="1409"/>
      <c r="AD164" s="1409"/>
      <c r="AE164" s="1409"/>
      <c r="AF164" s="1409"/>
      <c r="AG164" s="1409"/>
      <c r="AH164" s="1409"/>
      <c r="AI164" s="1409"/>
      <c r="AJ164" s="1409"/>
      <c r="AK164" s="1409"/>
      <c r="AL164" s="1409"/>
      <c r="AM164" s="1409"/>
      <c r="AN164" s="1409"/>
      <c r="AO164" s="1409"/>
      <c r="AP164" s="1409"/>
      <c r="AQ164" s="1409"/>
      <c r="AR164" s="1409"/>
      <c r="AS164" s="1409"/>
      <c r="AT164" s="1409"/>
      <c r="AU164" s="1409"/>
      <c r="AV164" s="1409"/>
      <c r="AW164" s="1409"/>
      <c r="AX164" s="1498"/>
      <c r="AY164" s="1498"/>
      <c r="AZ164" s="1498"/>
    </row>
    <row r="165" spans="3:52" ht="15" customHeight="1">
      <c r="C165" s="728"/>
      <c r="D165" s="728"/>
      <c r="E165" s="728"/>
      <c r="F165" s="728"/>
      <c r="G165" s="728"/>
      <c r="H165" s="728"/>
      <c r="I165" s="728"/>
      <c r="J165" s="728"/>
      <c r="K165" s="728"/>
      <c r="L165" s="728"/>
      <c r="M165" s="728"/>
      <c r="N165" s="728"/>
      <c r="O165" s="728"/>
      <c r="P165" s="728"/>
      <c r="Q165" s="728"/>
      <c r="R165" s="728"/>
      <c r="S165" s="728"/>
      <c r="T165" s="728"/>
      <c r="U165" s="728"/>
      <c r="V165" s="728"/>
      <c r="W165" s="728"/>
      <c r="X165" s="728"/>
      <c r="Y165" s="728"/>
      <c r="Z165" s="728"/>
      <c r="AA165" s="728"/>
      <c r="AB165" s="728"/>
      <c r="AC165" s="728"/>
      <c r="AD165" s="728"/>
      <c r="AE165" s="728"/>
      <c r="AF165" s="728"/>
      <c r="AG165" s="728"/>
      <c r="AH165" s="728"/>
      <c r="AI165" s="728"/>
      <c r="AJ165" s="728"/>
      <c r="AK165" s="728"/>
      <c r="AL165" s="728"/>
      <c r="AM165" s="728"/>
      <c r="AN165" s="728"/>
      <c r="AO165" s="728"/>
      <c r="AP165" s="728"/>
      <c r="AQ165" s="728"/>
      <c r="AR165" s="728"/>
      <c r="AS165" s="728"/>
      <c r="AT165" s="728"/>
      <c r="AU165" s="728"/>
      <c r="AV165" s="728"/>
      <c r="AW165" s="728"/>
      <c r="AX165" s="728"/>
      <c r="AY165" s="728"/>
      <c r="AZ165" s="728"/>
    </row>
    <row r="166" spans="3:52" ht="15" customHeight="1">
      <c r="C166" s="731" t="str">
        <f>C130</f>
        <v>Present dollars (after 2.5% inflation)</v>
      </c>
      <c r="D166" s="732"/>
      <c r="E166" s="732"/>
      <c r="F166" s="732"/>
      <c r="G166" s="732"/>
      <c r="H166" s="732"/>
      <c r="I166" s="732"/>
      <c r="J166" s="732"/>
      <c r="K166" s="732"/>
      <c r="L166" s="732"/>
      <c r="M166" s="732"/>
      <c r="N166" s="732"/>
      <c r="O166" s="732"/>
      <c r="P166" s="732"/>
      <c r="Q166" s="732"/>
      <c r="R166" s="732"/>
      <c r="S166" s="732"/>
      <c r="T166" s="732"/>
      <c r="U166" s="732"/>
      <c r="V166" s="732"/>
      <c r="W166" s="732"/>
      <c r="X166" s="732"/>
      <c r="Y166" s="732"/>
      <c r="Z166" s="732"/>
      <c r="AA166" s="732"/>
      <c r="AB166" s="732"/>
      <c r="AC166" s="732"/>
      <c r="AD166" s="732"/>
      <c r="AE166" s="732"/>
      <c r="AF166" s="732"/>
      <c r="AG166" s="732"/>
      <c r="AH166" s="732"/>
      <c r="AI166" s="732"/>
      <c r="AJ166" s="732"/>
      <c r="AK166" s="732"/>
      <c r="AL166" s="732"/>
      <c r="AM166" s="732"/>
      <c r="AN166" s="732"/>
      <c r="AO166" s="732"/>
      <c r="AP166" s="732"/>
      <c r="AQ166" s="732"/>
      <c r="AR166" s="732"/>
      <c r="AS166" s="732"/>
      <c r="AT166" s="732"/>
      <c r="AU166" s="732"/>
      <c r="AV166" s="732"/>
      <c r="AW166" s="732"/>
      <c r="AX166" s="732"/>
      <c r="AY166" s="732"/>
      <c r="AZ166" s="733"/>
    </row>
    <row r="167" spans="3:52" ht="15" customHeight="1">
      <c r="C167" s="734"/>
      <c r="D167" s="735"/>
      <c r="E167" s="735"/>
      <c r="F167" s="735"/>
      <c r="G167" s="735"/>
      <c r="H167" s="1410" t="s">
        <v>616</v>
      </c>
      <c r="I167" s="1410"/>
      <c r="J167" s="1410"/>
      <c r="K167" s="1410" t="s">
        <v>617</v>
      </c>
      <c r="L167" s="1410"/>
      <c r="M167" s="1410"/>
      <c r="N167" s="1410" t="s">
        <v>618</v>
      </c>
      <c r="O167" s="1410"/>
      <c r="P167" s="1410"/>
      <c r="Q167" s="1410" t="s">
        <v>619</v>
      </c>
      <c r="R167" s="1410"/>
      <c r="S167" s="1410"/>
      <c r="T167" s="1410" t="s">
        <v>620</v>
      </c>
      <c r="U167" s="1410"/>
      <c r="V167" s="1410"/>
      <c r="W167" s="1410" t="s">
        <v>621</v>
      </c>
      <c r="X167" s="1410"/>
      <c r="Y167" s="1410"/>
      <c r="Z167" s="1410" t="s">
        <v>622</v>
      </c>
      <c r="AA167" s="1410"/>
      <c r="AB167" s="1410"/>
      <c r="AC167" s="1410" t="s">
        <v>623</v>
      </c>
      <c r="AD167" s="1410"/>
      <c r="AE167" s="1410"/>
      <c r="AF167" s="1410" t="s">
        <v>624</v>
      </c>
      <c r="AG167" s="1410"/>
      <c r="AH167" s="1410"/>
      <c r="AI167" s="1410" t="s">
        <v>625</v>
      </c>
      <c r="AJ167" s="1410"/>
      <c r="AK167" s="1410"/>
      <c r="AL167" s="1410" t="s">
        <v>626</v>
      </c>
      <c r="AM167" s="1410"/>
      <c r="AN167" s="1410"/>
      <c r="AO167" s="1410" t="s">
        <v>627</v>
      </c>
      <c r="AP167" s="1410"/>
      <c r="AQ167" s="1410"/>
      <c r="AR167" s="1410" t="s">
        <v>628</v>
      </c>
      <c r="AS167" s="1410"/>
      <c r="AT167" s="1410"/>
      <c r="AU167" s="1410" t="s">
        <v>629</v>
      </c>
      <c r="AV167" s="1410"/>
      <c r="AW167" s="1410"/>
      <c r="AX167" s="1410" t="s">
        <v>630</v>
      </c>
      <c r="AY167" s="1410"/>
      <c r="AZ167" s="1410"/>
    </row>
    <row r="168" spans="3:52" ht="15" customHeight="1">
      <c r="C168" s="1467" t="s">
        <v>632</v>
      </c>
      <c r="D168" s="1467"/>
      <c r="E168" s="1467"/>
      <c r="F168" s="1467"/>
      <c r="G168" s="1467"/>
      <c r="H168" s="1408">
        <f>'Age Pension additional calcs'!AE10</f>
        <v>70000</v>
      </c>
      <c r="I168" s="1408"/>
      <c r="J168" s="1408"/>
      <c r="K168" s="1408">
        <f>'Age Pension additional calcs'!AE11</f>
        <v>70000</v>
      </c>
      <c r="L168" s="1408"/>
      <c r="M168" s="1408"/>
      <c r="N168" s="1408">
        <f>'Age Pension additional calcs'!AE12</f>
        <v>70000</v>
      </c>
      <c r="O168" s="1408"/>
      <c r="P168" s="1408"/>
      <c r="Q168" s="1408">
        <f>'Age Pension additional calcs'!AE13</f>
        <v>70000</v>
      </c>
      <c r="R168" s="1408"/>
      <c r="S168" s="1408"/>
      <c r="T168" s="1408">
        <f>'Age Pension additional calcs'!AE14</f>
        <v>70000</v>
      </c>
      <c r="U168" s="1408"/>
      <c r="V168" s="1408"/>
      <c r="W168" s="1408">
        <f>'Age Pension additional calcs'!AE15</f>
        <v>70000</v>
      </c>
      <c r="X168" s="1408"/>
      <c r="Y168" s="1408"/>
      <c r="Z168" s="1408">
        <f>'Age Pension additional calcs'!AE16</f>
        <v>70000</v>
      </c>
      <c r="AA168" s="1408"/>
      <c r="AB168" s="1408"/>
      <c r="AC168" s="1408">
        <f>'Age Pension additional calcs'!AE17</f>
        <v>70000</v>
      </c>
      <c r="AD168" s="1408"/>
      <c r="AE168" s="1408"/>
      <c r="AF168" s="1408">
        <f>'Age Pension additional calcs'!AE18</f>
        <v>70000</v>
      </c>
      <c r="AG168" s="1408"/>
      <c r="AH168" s="1408"/>
      <c r="AI168" s="1408">
        <f>'Age Pension additional calcs'!AE19</f>
        <v>70000</v>
      </c>
      <c r="AJ168" s="1408"/>
      <c r="AK168" s="1408"/>
      <c r="AL168" s="1408">
        <f>'Age Pension additional calcs'!AE20</f>
        <v>70000</v>
      </c>
      <c r="AM168" s="1408"/>
      <c r="AN168" s="1408"/>
      <c r="AO168" s="1408">
        <f>'Age Pension additional calcs'!AE21</f>
        <v>70000</v>
      </c>
      <c r="AP168" s="1408"/>
      <c r="AQ168" s="1408"/>
      <c r="AR168" s="1408">
        <f>'Age Pension additional calcs'!AE22</f>
        <v>70000</v>
      </c>
      <c r="AS168" s="1408"/>
      <c r="AT168" s="1408"/>
      <c r="AU168" s="1408">
        <f>'Age Pension additional calcs'!AE23</f>
        <v>70000</v>
      </c>
      <c r="AV168" s="1408"/>
      <c r="AW168" s="1408"/>
      <c r="AX168" s="1408">
        <f>'Age Pension additional calcs'!AE24</f>
        <v>70000</v>
      </c>
      <c r="AY168" s="1408"/>
      <c r="AZ168" s="1408"/>
    </row>
    <row r="169" spans="3:52" ht="15" customHeight="1">
      <c r="C169" s="1469"/>
      <c r="D169" s="1469"/>
      <c r="E169" s="1469"/>
      <c r="F169" s="1469"/>
      <c r="G169" s="1469"/>
      <c r="H169" s="1409"/>
      <c r="I169" s="1409"/>
      <c r="J169" s="1409"/>
      <c r="K169" s="1409"/>
      <c r="L169" s="1409"/>
      <c r="M169" s="1409"/>
      <c r="N169" s="1409"/>
      <c r="O169" s="1409"/>
      <c r="P169" s="1409"/>
      <c r="Q169" s="1409"/>
      <c r="R169" s="1409"/>
      <c r="S169" s="1409"/>
      <c r="T169" s="1409"/>
      <c r="U169" s="1409"/>
      <c r="V169" s="1409"/>
      <c r="W169" s="1409"/>
      <c r="X169" s="1409"/>
      <c r="Y169" s="1409"/>
      <c r="Z169" s="1409"/>
      <c r="AA169" s="1409"/>
      <c r="AB169" s="1409"/>
      <c r="AC169" s="1409"/>
      <c r="AD169" s="1409"/>
      <c r="AE169" s="1409"/>
      <c r="AF169" s="1409"/>
      <c r="AG169" s="1409"/>
      <c r="AH169" s="1409"/>
      <c r="AI169" s="1409"/>
      <c r="AJ169" s="1409"/>
      <c r="AK169" s="1409"/>
      <c r="AL169" s="1409"/>
      <c r="AM169" s="1409"/>
      <c r="AN169" s="1409"/>
      <c r="AO169" s="1409"/>
      <c r="AP169" s="1409"/>
      <c r="AQ169" s="1409"/>
      <c r="AR169" s="1409"/>
      <c r="AS169" s="1409"/>
      <c r="AT169" s="1409"/>
      <c r="AU169" s="1409"/>
      <c r="AV169" s="1409"/>
      <c r="AW169" s="1409"/>
      <c r="AX169" s="1496"/>
      <c r="AY169" s="1496"/>
      <c r="AZ169" s="1496"/>
    </row>
    <row r="170" spans="3:52" ht="15" customHeight="1">
      <c r="C170" s="1468" t="s">
        <v>876</v>
      </c>
      <c r="D170" s="1468"/>
      <c r="E170" s="1468"/>
      <c r="F170" s="1468"/>
      <c r="G170" s="1468"/>
      <c r="H170" s="1408">
        <f>'Age Pension additional calcs'!AF11</f>
        <v>783643.05388629867</v>
      </c>
      <c r="I170" s="1408"/>
      <c r="J170" s="1408"/>
      <c r="K170" s="1408">
        <f>'Age Pension additional calcs'!AF12</f>
        <v>724607.10962520633</v>
      </c>
      <c r="L170" s="1408"/>
      <c r="M170" s="1408"/>
      <c r="N170" s="1408">
        <f>'Age Pension additional calcs'!AF13</f>
        <v>667766.97016613954</v>
      </c>
      <c r="O170" s="1408"/>
      <c r="P170" s="1408"/>
      <c r="Q170" s="1408">
        <f>'Age Pension additional calcs'!AF14</f>
        <v>614965.8317525282</v>
      </c>
      <c r="R170" s="1408"/>
      <c r="S170" s="1408"/>
      <c r="T170" s="1408">
        <f>'Age Pension additional calcs'!AF15</f>
        <v>566250.88332982536</v>
      </c>
      <c r="U170" s="1408"/>
      <c r="V170" s="1408"/>
      <c r="W170" s="1408">
        <f>'Age Pension additional calcs'!AF16</f>
        <v>522196.73161751067</v>
      </c>
      <c r="X170" s="1408"/>
      <c r="Y170" s="1408"/>
      <c r="Z170" s="1408">
        <f>'Age Pension additional calcs'!AF17</f>
        <v>481858.1640165748</v>
      </c>
      <c r="AA170" s="1408"/>
      <c r="AB170" s="1408"/>
      <c r="AC170" s="1408">
        <f>'Age Pension additional calcs'!AF18</f>
        <v>444980.18138185074</v>
      </c>
      <c r="AD170" s="1408"/>
      <c r="AE170" s="1408"/>
      <c r="AF170" s="1408">
        <f>'Age Pension additional calcs'!AF19</f>
        <v>411307.65233521204</v>
      </c>
      <c r="AG170" s="1408"/>
      <c r="AH170" s="1408"/>
      <c r="AI170" s="1408">
        <f>'Age Pension additional calcs'!AF20</f>
        <v>380245.9508571903</v>
      </c>
      <c r="AJ170" s="1408"/>
      <c r="AK170" s="1408"/>
      <c r="AL170" s="1408">
        <f>'Age Pension additional calcs'!AF21</f>
        <v>349831.36333467707</v>
      </c>
      <c r="AM170" s="1408"/>
      <c r="AN170" s="1408"/>
      <c r="AO170" s="1408">
        <f>'Age Pension additional calcs'!AF22</f>
        <v>319192.13746370521</v>
      </c>
      <c r="AP170" s="1408"/>
      <c r="AQ170" s="1408"/>
      <c r="AR170" s="1408">
        <f>'Age Pension additional calcs'!AF23</f>
        <v>288327.97000563756</v>
      </c>
      <c r="AS170" s="1408"/>
      <c r="AT170" s="1408"/>
      <c r="AU170" s="1408">
        <f>'Age Pension additional calcs'!AF24</f>
        <v>257238.52225001474</v>
      </c>
      <c r="AV170" s="1408"/>
      <c r="AW170" s="1408"/>
      <c r="AX170" s="1497" t="str">
        <f ca="1">""&amp;TEXT('Age Pension additional calcs'!AF25+'Age Pension additional calcs'!AK5,"$#,###")&amp;""&amp;IF('Age Pension additional calcs'!AO2="Yes","*","")&amp;""</f>
        <v>$225,923</v>
      </c>
      <c r="AY170" s="1497"/>
      <c r="AZ170" s="1497"/>
    </row>
    <row r="171" spans="3:52" ht="15" customHeight="1">
      <c r="C171" s="1469"/>
      <c r="D171" s="1469"/>
      <c r="E171" s="1469"/>
      <c r="F171" s="1469"/>
      <c r="G171" s="1469"/>
      <c r="H171" s="1409"/>
      <c r="I171" s="1409"/>
      <c r="J171" s="1409"/>
      <c r="K171" s="1409"/>
      <c r="L171" s="1409"/>
      <c r="M171" s="1409"/>
      <c r="N171" s="1409"/>
      <c r="O171" s="1409"/>
      <c r="P171" s="1409"/>
      <c r="Q171" s="1409"/>
      <c r="R171" s="1409"/>
      <c r="S171" s="1409"/>
      <c r="T171" s="1409"/>
      <c r="U171" s="1409"/>
      <c r="V171" s="1409"/>
      <c r="W171" s="1409"/>
      <c r="X171" s="1409"/>
      <c r="Y171" s="1409"/>
      <c r="Z171" s="1409"/>
      <c r="AA171" s="1409"/>
      <c r="AB171" s="1409"/>
      <c r="AC171" s="1409"/>
      <c r="AD171" s="1409"/>
      <c r="AE171" s="1409"/>
      <c r="AF171" s="1409"/>
      <c r="AG171" s="1409"/>
      <c r="AH171" s="1409"/>
      <c r="AI171" s="1409"/>
      <c r="AJ171" s="1409"/>
      <c r="AK171" s="1409"/>
      <c r="AL171" s="1409"/>
      <c r="AM171" s="1409"/>
      <c r="AN171" s="1409"/>
      <c r="AO171" s="1409"/>
      <c r="AP171" s="1409"/>
      <c r="AQ171" s="1409"/>
      <c r="AR171" s="1409"/>
      <c r="AS171" s="1409"/>
      <c r="AT171" s="1409"/>
      <c r="AU171" s="1409"/>
      <c r="AV171" s="1409"/>
      <c r="AW171" s="1409"/>
      <c r="AX171" s="1498"/>
      <c r="AY171" s="1498"/>
      <c r="AZ171" s="1498"/>
    </row>
    <row r="172" spans="3:52" ht="15" customHeight="1">
      <c r="C172" s="728"/>
      <c r="D172" s="728"/>
      <c r="E172" s="728"/>
      <c r="F172" s="728"/>
      <c r="G172" s="728"/>
      <c r="H172" s="728"/>
      <c r="I172" s="728"/>
      <c r="J172" s="728"/>
      <c r="K172" s="728"/>
      <c r="L172" s="728"/>
      <c r="M172" s="728"/>
      <c r="N172" s="728"/>
      <c r="O172" s="728"/>
      <c r="P172" s="728"/>
      <c r="Q172" s="728"/>
      <c r="R172" s="728"/>
      <c r="S172" s="728"/>
      <c r="T172" s="728"/>
      <c r="U172" s="728"/>
      <c r="V172" s="728"/>
      <c r="W172" s="728"/>
      <c r="X172" s="728"/>
      <c r="Y172" s="728"/>
      <c r="Z172" s="728"/>
      <c r="AA172" s="728"/>
      <c r="AB172" s="728"/>
      <c r="AC172" s="1491" t="str">
        <f>IF('Age Pension additional calcs'!AO2="Yes","*Amounts shown are after tax has been deducted from the Withdrawal Guarantee value","")</f>
        <v/>
      </c>
      <c r="AD172" s="1491"/>
      <c r="AE172" s="1491"/>
      <c r="AF172" s="1491"/>
      <c r="AG172" s="1491"/>
      <c r="AH172" s="1491"/>
      <c r="AI172" s="1491"/>
      <c r="AJ172" s="1491"/>
      <c r="AK172" s="1491"/>
      <c r="AL172" s="1491"/>
      <c r="AM172" s="1491"/>
      <c r="AN172" s="1491"/>
      <c r="AO172" s="1491"/>
      <c r="AP172" s="1491"/>
      <c r="AQ172" s="1491"/>
      <c r="AR172" s="1491"/>
      <c r="AS172" s="1491"/>
      <c r="AT172" s="1491"/>
      <c r="AU172" s="1491"/>
      <c r="AV172" s="1491"/>
      <c r="AW172" s="1491"/>
      <c r="AX172" s="1491"/>
      <c r="AY172" s="1491"/>
      <c r="AZ172" s="1491"/>
    </row>
    <row r="173" spans="3:52" ht="15" customHeight="1">
      <c r="C173" s="713"/>
      <c r="V173" s="728"/>
      <c r="W173" s="728"/>
      <c r="X173" s="728"/>
      <c r="Y173" s="728"/>
      <c r="Z173" s="728"/>
      <c r="AA173" s="728"/>
      <c r="AB173" s="728"/>
      <c r="AC173" s="1491"/>
      <c r="AD173" s="1491"/>
      <c r="AE173" s="1491"/>
      <c r="AF173" s="1491"/>
      <c r="AG173" s="1491"/>
      <c r="AH173" s="1491"/>
      <c r="AI173" s="1491"/>
      <c r="AJ173" s="1491"/>
      <c r="AK173" s="1491"/>
      <c r="AL173" s="1491"/>
      <c r="AM173" s="1491"/>
      <c r="AN173" s="1491"/>
      <c r="AO173" s="1491"/>
      <c r="AP173" s="1491"/>
      <c r="AQ173" s="1491"/>
      <c r="AR173" s="1491"/>
      <c r="AS173" s="1491"/>
      <c r="AT173" s="1491"/>
      <c r="AU173" s="1491"/>
      <c r="AV173" s="1491"/>
      <c r="AW173" s="1491"/>
      <c r="AX173" s="1491"/>
      <c r="AY173" s="1491"/>
      <c r="AZ173" s="1491"/>
    </row>
    <row r="174" spans="3:52" ht="15" customHeight="1">
      <c r="C174" s="713" t="s">
        <v>1227</v>
      </c>
      <c r="D174" s="728"/>
      <c r="E174" s="728"/>
      <c r="F174" s="728"/>
      <c r="G174" s="728"/>
      <c r="H174" s="728"/>
      <c r="I174" s="728"/>
      <c r="J174" s="728"/>
      <c r="K174" s="728"/>
      <c r="L174" s="728"/>
      <c r="M174" s="728"/>
      <c r="N174" s="728"/>
      <c r="O174" s="728"/>
      <c r="P174" s="728"/>
      <c r="Q174" s="728"/>
      <c r="R174" s="728"/>
      <c r="S174" s="728"/>
      <c r="T174" s="728"/>
      <c r="U174" s="728"/>
      <c r="V174" s="728"/>
      <c r="W174" s="728"/>
      <c r="X174" s="728"/>
      <c r="Y174" s="728"/>
      <c r="Z174" s="728"/>
      <c r="AA174" s="728"/>
      <c r="AB174" s="728"/>
      <c r="AC174" s="728"/>
      <c r="AD174" s="728"/>
      <c r="AE174" s="728"/>
      <c r="AF174" s="728"/>
      <c r="AG174" s="728"/>
      <c r="AH174" s="728"/>
      <c r="AI174" s="728"/>
      <c r="AJ174" s="728"/>
      <c r="AK174" s="728"/>
      <c r="AL174" s="728"/>
      <c r="AM174" s="728"/>
      <c r="AN174" s="728"/>
      <c r="AO174" s="728"/>
      <c r="AP174" s="728"/>
      <c r="AQ174" s="728"/>
      <c r="AR174" s="728"/>
      <c r="AS174" s="728"/>
      <c r="AT174" s="728"/>
      <c r="AU174" s="728"/>
      <c r="AV174" s="728"/>
      <c r="AW174" s="728"/>
      <c r="AX174" s="728"/>
      <c r="AY174" s="728"/>
      <c r="AZ174" s="728"/>
    </row>
    <row r="175" spans="3:52" ht="15" customHeight="1"/>
    <row r="176" spans="3:52" ht="15" customHeight="1">
      <c r="C176" s="731" t="s">
        <v>634</v>
      </c>
      <c r="D176" s="732"/>
      <c r="E176" s="732"/>
      <c r="F176" s="732"/>
      <c r="G176" s="732"/>
      <c r="H176" s="732"/>
      <c r="I176" s="732"/>
      <c r="J176" s="732"/>
      <c r="K176" s="732"/>
      <c r="L176" s="732"/>
      <c r="M176" s="732"/>
      <c r="N176" s="732"/>
      <c r="O176" s="732"/>
      <c r="P176" s="732"/>
      <c r="Q176" s="732"/>
      <c r="R176" s="732"/>
      <c r="S176" s="732"/>
      <c r="T176" s="732"/>
      <c r="U176" s="732"/>
      <c r="V176" s="732"/>
      <c r="W176" s="732"/>
      <c r="X176" s="732"/>
      <c r="Y176" s="732"/>
      <c r="Z176" s="732"/>
      <c r="AA176" s="732"/>
      <c r="AB176" s="732"/>
      <c r="AC176" s="732"/>
      <c r="AD176" s="732"/>
      <c r="AE176" s="732"/>
      <c r="AF176" s="732"/>
      <c r="AG176" s="732"/>
      <c r="AH176" s="732"/>
      <c r="AI176" s="732"/>
      <c r="AJ176" s="732"/>
      <c r="AK176" s="732"/>
      <c r="AL176" s="732"/>
      <c r="AM176" s="732"/>
      <c r="AN176" s="732"/>
      <c r="AO176" s="732"/>
      <c r="AP176" s="732"/>
      <c r="AQ176" s="732"/>
      <c r="AR176" s="732"/>
      <c r="AS176" s="732"/>
      <c r="AT176" s="732"/>
      <c r="AU176" s="732"/>
      <c r="AV176" s="732"/>
      <c r="AW176" s="732"/>
      <c r="AX176" s="732"/>
      <c r="AY176" s="732"/>
      <c r="AZ176" s="733"/>
    </row>
    <row r="177" spans="3:52" ht="15" customHeight="1">
      <c r="C177" s="735"/>
      <c r="D177" s="735"/>
      <c r="E177" s="735"/>
      <c r="F177" s="735"/>
      <c r="G177" s="735"/>
      <c r="H177" s="1410" t="s">
        <v>616</v>
      </c>
      <c r="I177" s="1410"/>
      <c r="J177" s="1410"/>
      <c r="K177" s="1410" t="s">
        <v>617</v>
      </c>
      <c r="L177" s="1410"/>
      <c r="M177" s="1410"/>
      <c r="N177" s="1410" t="s">
        <v>618</v>
      </c>
      <c r="O177" s="1410"/>
      <c r="P177" s="1410"/>
      <c r="Q177" s="1410" t="s">
        <v>619</v>
      </c>
      <c r="R177" s="1410"/>
      <c r="S177" s="1410"/>
      <c r="T177" s="1410" t="s">
        <v>620</v>
      </c>
      <c r="U177" s="1410"/>
      <c r="V177" s="1410"/>
      <c r="W177" s="1410" t="s">
        <v>621</v>
      </c>
      <c r="X177" s="1410"/>
      <c r="Y177" s="1410"/>
      <c r="Z177" s="1410" t="s">
        <v>622</v>
      </c>
      <c r="AA177" s="1410"/>
      <c r="AB177" s="1410"/>
      <c r="AC177" s="1410" t="s">
        <v>623</v>
      </c>
      <c r="AD177" s="1410"/>
      <c r="AE177" s="1410"/>
      <c r="AF177" s="1410" t="s">
        <v>624</v>
      </c>
      <c r="AG177" s="1410"/>
      <c r="AH177" s="1410"/>
      <c r="AI177" s="1410" t="s">
        <v>625</v>
      </c>
      <c r="AJ177" s="1410"/>
      <c r="AK177" s="1410"/>
      <c r="AL177" s="1410" t="s">
        <v>626</v>
      </c>
      <c r="AM177" s="1410"/>
      <c r="AN177" s="1410"/>
      <c r="AO177" s="1410" t="s">
        <v>627</v>
      </c>
      <c r="AP177" s="1410"/>
      <c r="AQ177" s="1410"/>
      <c r="AR177" s="1410" t="s">
        <v>628</v>
      </c>
      <c r="AS177" s="1410"/>
      <c r="AT177" s="1410"/>
      <c r="AU177" s="1410" t="s">
        <v>629</v>
      </c>
      <c r="AV177" s="1410"/>
      <c r="AW177" s="1410"/>
      <c r="AX177" s="1410" t="s">
        <v>630</v>
      </c>
      <c r="AY177" s="1410"/>
      <c r="AZ177" s="1410"/>
    </row>
    <row r="178" spans="3:52" ht="15" customHeight="1">
      <c r="C178" s="1467" t="s">
        <v>632</v>
      </c>
      <c r="D178" s="1467"/>
      <c r="E178" s="1467"/>
      <c r="F178" s="1467"/>
      <c r="G178" s="1467"/>
      <c r="H178" s="1408">
        <f>'Age Pension additional calcs'!AK10</f>
        <v>20713.5</v>
      </c>
      <c r="I178" s="1408"/>
      <c r="J178" s="1408"/>
      <c r="K178" s="1408">
        <f>'Age Pension additional calcs'!AK11</f>
        <v>19495.069805314059</v>
      </c>
      <c r="L178" s="1408"/>
      <c r="M178" s="1408"/>
      <c r="N178" s="1408">
        <f>'Age Pension additional calcs'!AK12</f>
        <v>18143.325814103766</v>
      </c>
      <c r="O178" s="1408"/>
      <c r="P178" s="1408"/>
      <c r="Q178" s="1408">
        <f>'Age Pension additional calcs'!AK13</f>
        <v>16825.090298580424</v>
      </c>
      <c r="R178" s="1408"/>
      <c r="S178" s="1408"/>
      <c r="T178" s="1408">
        <f>'Age Pension additional calcs'!AK14</f>
        <v>15562.568739249133</v>
      </c>
      <c r="U178" s="1408"/>
      <c r="V178" s="1408"/>
      <c r="W178" s="1408">
        <f>'Age Pension additional calcs'!AK15</f>
        <v>14364.929704170061</v>
      </c>
      <c r="X178" s="1408"/>
      <c r="Y178" s="1408"/>
      <c r="Z178" s="1408">
        <f>'Age Pension additional calcs'!AK16</f>
        <v>13261.744978283687</v>
      </c>
      <c r="AA178" s="1408"/>
      <c r="AB178" s="1408"/>
      <c r="AC178" s="1408">
        <f>'Age Pension additional calcs'!AK17</f>
        <v>12226.545228362662</v>
      </c>
      <c r="AD178" s="1408"/>
      <c r="AE178" s="1408"/>
      <c r="AF178" s="1408">
        <f>'Age Pension additional calcs'!AK18</f>
        <v>11257.025550161385</v>
      </c>
      <c r="AG178" s="1408"/>
      <c r="AH178" s="1408"/>
      <c r="AI178" s="1408">
        <f>'Age Pension additional calcs'!AK19</f>
        <v>10350.266872799235</v>
      </c>
      <c r="AJ178" s="1408"/>
      <c r="AK178" s="1408"/>
      <c r="AL178" s="1408">
        <f>'Age Pension additional calcs'!AK20</f>
        <v>9488.5685017364594</v>
      </c>
      <c r="AM178" s="1408"/>
      <c r="AN178" s="1408"/>
      <c r="AO178" s="1408">
        <f>'Age Pension additional calcs'!AK21</f>
        <v>8578.6295240968575</v>
      </c>
      <c r="AP178" s="1408"/>
      <c r="AQ178" s="1408"/>
      <c r="AR178" s="1408">
        <f>'Age Pension additional calcs'!AK22</f>
        <v>7603.9700271393594</v>
      </c>
      <c r="AS178" s="1408"/>
      <c r="AT178" s="1408"/>
      <c r="AU178" s="1408">
        <f>'Age Pension additional calcs'!AK23</f>
        <v>6561.7133311913776</v>
      </c>
      <c r="AV178" s="1408"/>
      <c r="AW178" s="1408"/>
      <c r="AX178" s="1408">
        <f>'Age Pension additional calcs'!AK24</f>
        <v>5448.8718987016337</v>
      </c>
      <c r="AY178" s="1408"/>
      <c r="AZ178" s="1408"/>
    </row>
    <row r="179" spans="3:52" ht="15" customHeight="1">
      <c r="C179" s="1469"/>
      <c r="D179" s="1469"/>
      <c r="E179" s="1469"/>
      <c r="F179" s="1469"/>
      <c r="G179" s="1469"/>
      <c r="H179" s="1409"/>
      <c r="I179" s="1409"/>
      <c r="J179" s="1409"/>
      <c r="K179" s="1409"/>
      <c r="L179" s="1409"/>
      <c r="M179" s="1409"/>
      <c r="N179" s="1409"/>
      <c r="O179" s="1409"/>
      <c r="P179" s="1409"/>
      <c r="Q179" s="1409"/>
      <c r="R179" s="1409"/>
      <c r="S179" s="1409"/>
      <c r="T179" s="1409"/>
      <c r="U179" s="1409"/>
      <c r="V179" s="1409"/>
      <c r="W179" s="1409"/>
      <c r="X179" s="1409"/>
      <c r="Y179" s="1409"/>
      <c r="Z179" s="1409"/>
      <c r="AA179" s="1409"/>
      <c r="AB179" s="1409"/>
      <c r="AC179" s="1409"/>
      <c r="AD179" s="1409"/>
      <c r="AE179" s="1409"/>
      <c r="AF179" s="1409"/>
      <c r="AG179" s="1409"/>
      <c r="AH179" s="1409"/>
      <c r="AI179" s="1409"/>
      <c r="AJ179" s="1409"/>
      <c r="AK179" s="1409"/>
      <c r="AL179" s="1409"/>
      <c r="AM179" s="1409"/>
      <c r="AN179" s="1409"/>
      <c r="AO179" s="1409"/>
      <c r="AP179" s="1409"/>
      <c r="AQ179" s="1409"/>
      <c r="AR179" s="1409"/>
      <c r="AS179" s="1409"/>
      <c r="AT179" s="1409"/>
      <c r="AU179" s="1409"/>
      <c r="AV179" s="1409"/>
      <c r="AW179" s="1409"/>
      <c r="AX179" s="1409"/>
      <c r="AY179" s="1409"/>
      <c r="AZ179" s="1409"/>
    </row>
    <row r="180" spans="3:52" ht="15" customHeight="1">
      <c r="C180" s="1468" t="s">
        <v>636</v>
      </c>
      <c r="D180" s="1468"/>
      <c r="E180" s="1468"/>
      <c r="F180" s="1468"/>
      <c r="G180" s="1468"/>
      <c r="H180" s="1408">
        <f>'Age Pension additional calcs'!AL10</f>
        <v>865000</v>
      </c>
      <c r="I180" s="1408"/>
      <c r="J180" s="1408"/>
      <c r="K180" s="1408">
        <f>'Age Pension additional calcs'!AL11</f>
        <v>818570.12499999988</v>
      </c>
      <c r="L180" s="1408"/>
      <c r="M180" s="1408"/>
      <c r="N180" s="1408">
        <f>'Age Pension additional calcs'!AL12</f>
        <v>768069.91249999998</v>
      </c>
      <c r="O180" s="1408"/>
      <c r="P180" s="1408"/>
      <c r="Q180" s="1408">
        <f>'Age Pension additional calcs'!AL13</f>
        <v>718636.03632812493</v>
      </c>
      <c r="R180" s="1408"/>
      <c r="S180" s="1408"/>
      <c r="T180" s="1408">
        <f>'Age Pension additional calcs'!AL14</f>
        <v>670952.6655664061</v>
      </c>
      <c r="U180" s="1408"/>
      <c r="V180" s="1408"/>
      <c r="W180" s="1408">
        <f>'Age Pension additional calcs'!AL15</f>
        <v>625295.37701826158</v>
      </c>
      <c r="X180" s="1408"/>
      <c r="Y180" s="1408"/>
      <c r="Z180" s="1408">
        <f>'Age Pension additional calcs'!AL16</f>
        <v>582583.5855734275</v>
      </c>
      <c r="AA180" s="1408"/>
      <c r="AB180" s="1408"/>
      <c r="AC180" s="1408">
        <f>'Age Pension additional calcs'!AL17</f>
        <v>541993.15624255815</v>
      </c>
      <c r="AD180" s="1408"/>
      <c r="AE180" s="1408"/>
      <c r="AF180" s="1408">
        <f>'Age Pension additional calcs'!AL18</f>
        <v>503462.35329456063</v>
      </c>
      <c r="AG180" s="1408"/>
      <c r="AH180" s="1408"/>
      <c r="AI180" s="1408">
        <f>'Age Pension additional calcs'!AL19</f>
        <v>466893.66562978446</v>
      </c>
      <c r="AJ180" s="1408"/>
      <c r="AK180" s="1408"/>
      <c r="AL180" s="1408">
        <f>'Age Pension additional calcs'!AL20</f>
        <v>431753.31548926828</v>
      </c>
      <c r="AM180" s="1408"/>
      <c r="AN180" s="1408"/>
      <c r="AO180" s="1408">
        <f>'Age Pension additional calcs'!AL21</f>
        <v>395161.13873000728</v>
      </c>
      <c r="AP180" s="1408"/>
      <c r="AQ180" s="1408"/>
      <c r="AR180" s="1408">
        <f>'Age Pension additional calcs'!AL22</f>
        <v>356617.44508126948</v>
      </c>
      <c r="AS180" s="1408"/>
      <c r="AT180" s="1408"/>
      <c r="AU180" s="1408">
        <f>'Age Pension additional calcs'!AL23</f>
        <v>316037.44214287383</v>
      </c>
      <c r="AV180" s="1408"/>
      <c r="AW180" s="1408"/>
      <c r="AX180" s="1408">
        <f>'Age Pension additional calcs'!AL24</f>
        <v>273318.59106006043</v>
      </c>
      <c r="AY180" s="1408"/>
      <c r="AZ180" s="1408"/>
    </row>
    <row r="181" spans="3:52" ht="15" customHeight="1">
      <c r="C181" s="1469"/>
      <c r="D181" s="1469"/>
      <c r="E181" s="1469"/>
      <c r="F181" s="1469"/>
      <c r="G181" s="1469"/>
      <c r="H181" s="1409"/>
      <c r="I181" s="1409"/>
      <c r="J181" s="1409"/>
      <c r="K181" s="1409"/>
      <c r="L181" s="1409"/>
      <c r="M181" s="1409"/>
      <c r="N181" s="1409"/>
      <c r="O181" s="1409"/>
      <c r="P181" s="1409"/>
      <c r="Q181" s="1409"/>
      <c r="R181" s="1409"/>
      <c r="S181" s="1409"/>
      <c r="T181" s="1409"/>
      <c r="U181" s="1409"/>
      <c r="V181" s="1409"/>
      <c r="W181" s="1409"/>
      <c r="X181" s="1409"/>
      <c r="Y181" s="1409"/>
      <c r="Z181" s="1409"/>
      <c r="AA181" s="1409"/>
      <c r="AB181" s="1409"/>
      <c r="AC181" s="1409"/>
      <c r="AD181" s="1409"/>
      <c r="AE181" s="1409"/>
      <c r="AF181" s="1409"/>
      <c r="AG181" s="1409"/>
      <c r="AH181" s="1409"/>
      <c r="AI181" s="1409"/>
      <c r="AJ181" s="1409"/>
      <c r="AK181" s="1409"/>
      <c r="AL181" s="1409"/>
      <c r="AM181" s="1409"/>
      <c r="AN181" s="1409"/>
      <c r="AO181" s="1409"/>
      <c r="AP181" s="1409"/>
      <c r="AQ181" s="1409"/>
      <c r="AR181" s="1409"/>
      <c r="AS181" s="1409"/>
      <c r="AT181" s="1409"/>
      <c r="AU181" s="1409"/>
      <c r="AV181" s="1409"/>
      <c r="AW181" s="1409"/>
      <c r="AX181" s="1409"/>
      <c r="AY181" s="1409"/>
      <c r="AZ181" s="1409"/>
    </row>
    <row r="182" spans="3:52" ht="15" customHeight="1">
      <c r="C182" s="1468" t="s">
        <v>637</v>
      </c>
      <c r="D182" s="1468"/>
      <c r="E182" s="1468"/>
      <c r="F182" s="1468"/>
      <c r="G182" s="1468"/>
      <c r="H182" s="1465" t="str">
        <f>'Deterministic Output'!AC3</f>
        <v>Assets Test</v>
      </c>
      <c r="I182" s="1465"/>
      <c r="J182" s="1465"/>
      <c r="K182" s="1465" t="str">
        <f>'Deterministic Output'!AC4</f>
        <v>Assets Test</v>
      </c>
      <c r="L182" s="1465"/>
      <c r="M182" s="1465"/>
      <c r="N182" s="1465" t="str">
        <f>'Deterministic Output'!AC5</f>
        <v>Assets Test</v>
      </c>
      <c r="O182" s="1465"/>
      <c r="P182" s="1465"/>
      <c r="Q182" s="1465" t="str">
        <f>'Deterministic Output'!AC6</f>
        <v>Assets Test</v>
      </c>
      <c r="R182" s="1465"/>
      <c r="S182" s="1465"/>
      <c r="T182" s="1465" t="str">
        <f>'Deterministic Output'!AC7</f>
        <v>Assets Test</v>
      </c>
      <c r="U182" s="1465"/>
      <c r="V182" s="1465"/>
      <c r="W182" s="1465" t="str">
        <f>'Deterministic Output'!AC8</f>
        <v>Assets Test</v>
      </c>
      <c r="X182" s="1465"/>
      <c r="Y182" s="1465"/>
      <c r="Z182" s="1465" t="str">
        <f>'Deterministic Output'!AC9</f>
        <v>Assets Test</v>
      </c>
      <c r="AA182" s="1465"/>
      <c r="AB182" s="1465"/>
      <c r="AC182" s="1465" t="str">
        <f>'Deterministic Output'!AC10</f>
        <v>Assets Test</v>
      </c>
      <c r="AD182" s="1465"/>
      <c r="AE182" s="1465"/>
      <c r="AF182" s="1465" t="str">
        <f>'Deterministic Output'!AC11</f>
        <v>Assets Test</v>
      </c>
      <c r="AG182" s="1465"/>
      <c r="AH182" s="1465"/>
      <c r="AI182" s="1465" t="str">
        <f>'Deterministic Output'!AC12</f>
        <v>Income Test</v>
      </c>
      <c r="AJ182" s="1465"/>
      <c r="AK182" s="1465"/>
      <c r="AL182" s="1465" t="str">
        <f>'Deterministic Output'!AC13</f>
        <v>Full</v>
      </c>
      <c r="AM182" s="1465"/>
      <c r="AN182" s="1465"/>
      <c r="AO182" s="1465" t="str">
        <f>'Deterministic Output'!AC14</f>
        <v>Full</v>
      </c>
      <c r="AP182" s="1465"/>
      <c r="AQ182" s="1465"/>
      <c r="AR182" s="1465" t="str">
        <f>'Deterministic Output'!AC15</f>
        <v>Full</v>
      </c>
      <c r="AS182" s="1465"/>
      <c r="AT182" s="1465"/>
      <c r="AU182" s="1465" t="str">
        <f>'Deterministic Output'!AC16</f>
        <v>Full</v>
      </c>
      <c r="AV182" s="1465"/>
      <c r="AW182" s="1465"/>
      <c r="AX182" s="1465" t="str">
        <f>'Deterministic Output'!AC17</f>
        <v>Full</v>
      </c>
      <c r="AY182" s="1465"/>
      <c r="AZ182" s="1465"/>
    </row>
    <row r="183" spans="3:52" ht="15" customHeight="1">
      <c r="C183" s="1469"/>
      <c r="D183" s="1469"/>
      <c r="E183" s="1469"/>
      <c r="F183" s="1469"/>
      <c r="G183" s="1469"/>
      <c r="H183" s="1466"/>
      <c r="I183" s="1466"/>
      <c r="J183" s="1466"/>
      <c r="K183" s="1466"/>
      <c r="L183" s="1466"/>
      <c r="M183" s="1466"/>
      <c r="N183" s="1466"/>
      <c r="O183" s="1466"/>
      <c r="P183" s="1466"/>
      <c r="Q183" s="1466"/>
      <c r="R183" s="1466"/>
      <c r="S183" s="1466"/>
      <c r="T183" s="1466"/>
      <c r="U183" s="1466"/>
      <c r="V183" s="1466"/>
      <c r="W183" s="1466"/>
      <c r="X183" s="1466"/>
      <c r="Y183" s="1466"/>
      <c r="Z183" s="1466"/>
      <c r="AA183" s="1466"/>
      <c r="AB183" s="1466"/>
      <c r="AC183" s="1466"/>
      <c r="AD183" s="1466"/>
      <c r="AE183" s="1466"/>
      <c r="AF183" s="1466"/>
      <c r="AG183" s="1466"/>
      <c r="AH183" s="1466"/>
      <c r="AI183" s="1466"/>
      <c r="AJ183" s="1466"/>
      <c r="AK183" s="1466"/>
      <c r="AL183" s="1466"/>
      <c r="AM183" s="1466"/>
      <c r="AN183" s="1466"/>
      <c r="AO183" s="1466"/>
      <c r="AP183" s="1466"/>
      <c r="AQ183" s="1466"/>
      <c r="AR183" s="1466"/>
      <c r="AS183" s="1466"/>
      <c r="AT183" s="1466"/>
      <c r="AU183" s="1466"/>
      <c r="AV183" s="1466"/>
      <c r="AW183" s="1466"/>
      <c r="AX183" s="1466"/>
      <c r="AY183" s="1466"/>
      <c r="AZ183" s="1466"/>
    </row>
    <row r="184" spans="3:52" ht="15" customHeight="1">
      <c r="C184" s="1120"/>
      <c r="D184" s="1120"/>
      <c r="E184" s="1120"/>
      <c r="F184" s="1120"/>
      <c r="G184" s="1120"/>
      <c r="H184" s="737"/>
      <c r="I184" s="737"/>
      <c r="J184" s="737"/>
      <c r="K184" s="737"/>
      <c r="L184" s="737"/>
      <c r="M184" s="737"/>
      <c r="N184" s="737"/>
      <c r="O184" s="737"/>
      <c r="P184" s="737"/>
      <c r="Q184" s="737"/>
      <c r="R184" s="737"/>
      <c r="S184" s="737"/>
      <c r="T184" s="737"/>
      <c r="U184" s="737"/>
      <c r="V184" s="737"/>
      <c r="W184" s="737"/>
      <c r="X184" s="737"/>
      <c r="Y184" s="737"/>
      <c r="Z184" s="737"/>
      <c r="AA184" s="737"/>
      <c r="AB184" s="737"/>
      <c r="AC184" s="737"/>
      <c r="AD184" s="737"/>
      <c r="AE184" s="737"/>
      <c r="AF184" s="737"/>
      <c r="AG184" s="737"/>
      <c r="AH184" s="737"/>
      <c r="AI184" s="737"/>
      <c r="AJ184" s="737"/>
      <c r="AK184" s="737"/>
      <c r="AL184" s="737"/>
      <c r="AM184" s="737"/>
      <c r="AN184" s="737"/>
      <c r="AO184" s="737"/>
      <c r="AP184" s="737"/>
      <c r="AQ184" s="737"/>
      <c r="AR184" s="737"/>
      <c r="AS184" s="737"/>
      <c r="AT184" s="737"/>
      <c r="AU184" s="737"/>
      <c r="AV184" s="737"/>
      <c r="AW184" s="737"/>
      <c r="AX184" s="737"/>
      <c r="AY184" s="737"/>
      <c r="AZ184" s="737"/>
    </row>
    <row r="185" spans="3:52" ht="15" customHeight="1"/>
    <row r="186" spans="3:52" ht="15" customHeight="1">
      <c r="C186" s="714"/>
      <c r="D186" s="714"/>
      <c r="E186" s="714"/>
      <c r="F186" s="714"/>
      <c r="G186" s="714"/>
      <c r="H186" s="714"/>
      <c r="I186" s="714"/>
      <c r="J186" s="714"/>
      <c r="K186" s="714"/>
      <c r="L186" s="714"/>
      <c r="M186" s="714"/>
      <c r="N186" s="714"/>
      <c r="O186" s="714"/>
      <c r="P186" s="714"/>
      <c r="Q186" s="714"/>
      <c r="R186" s="714"/>
      <c r="S186" s="714"/>
      <c r="T186" s="714"/>
      <c r="U186" s="714"/>
      <c r="V186" s="714"/>
      <c r="W186" s="714"/>
      <c r="X186" s="714"/>
      <c r="Y186" s="714"/>
      <c r="Z186" s="715"/>
      <c r="AA186" s="730"/>
      <c r="AB186" s="714"/>
      <c r="AC186" s="714"/>
      <c r="AD186" s="714"/>
      <c r="AE186" s="714"/>
      <c r="AF186" s="714"/>
      <c r="AG186" s="714"/>
      <c r="AH186" s="714"/>
      <c r="AI186" s="714"/>
      <c r="AJ186" s="714"/>
      <c r="AK186" s="714"/>
      <c r="AL186" s="714"/>
      <c r="AM186" s="714"/>
      <c r="AN186" s="714"/>
      <c r="AO186" s="714"/>
      <c r="AP186" s="714"/>
      <c r="AQ186" s="714"/>
      <c r="AR186" s="714"/>
      <c r="AS186" s="714"/>
      <c r="AT186" s="716" t="str">
        <f>AT114</f>
        <v/>
      </c>
      <c r="AU186" s="717"/>
      <c r="AV186" s="1443" t="s">
        <v>563</v>
      </c>
      <c r="AW186" s="1443"/>
      <c r="AX186" s="1443"/>
      <c r="AY186" s="1443"/>
      <c r="AZ186" s="1443"/>
    </row>
    <row r="187" spans="3:52" ht="15" customHeight="1"/>
    <row r="188" spans="3:52" ht="15" customHeight="1">
      <c r="Z188" s="692"/>
      <c r="AA188" s="692"/>
    </row>
    <row r="189" spans="3:52" ht="26.25">
      <c r="C189" s="693" t="s">
        <v>570</v>
      </c>
      <c r="Z189" s="692"/>
      <c r="AA189" s="692"/>
    </row>
    <row r="190" spans="3:52" ht="15" customHeight="1">
      <c r="Z190" s="692"/>
      <c r="AA190" s="692"/>
    </row>
    <row r="191" spans="3:52" ht="22.5" customHeight="1">
      <c r="C191" s="694" t="s">
        <v>1298</v>
      </c>
      <c r="D191" s="695"/>
      <c r="E191" s="695"/>
      <c r="F191" s="695"/>
      <c r="G191" s="695"/>
      <c r="H191" s="695"/>
      <c r="I191" s="695"/>
      <c r="J191" s="695"/>
      <c r="K191" s="695"/>
      <c r="L191" s="695"/>
      <c r="M191" s="695"/>
      <c r="N191" s="695"/>
      <c r="O191" s="695"/>
      <c r="P191" s="695"/>
      <c r="Q191" s="695"/>
      <c r="R191" s="695"/>
      <c r="S191" s="695"/>
      <c r="T191" s="695"/>
      <c r="U191" s="695"/>
      <c r="V191" s="695"/>
      <c r="W191" s="695"/>
      <c r="X191" s="695"/>
      <c r="Y191" s="695"/>
      <c r="Z191" s="696"/>
      <c r="AA191" s="696"/>
      <c r="AB191" s="695"/>
      <c r="AC191" s="695"/>
      <c r="AD191" s="695"/>
      <c r="AE191" s="695"/>
      <c r="AF191" s="695"/>
      <c r="AG191" s="695"/>
      <c r="AH191" s="695"/>
      <c r="AI191" s="695"/>
      <c r="AJ191" s="695"/>
      <c r="AK191" s="695"/>
      <c r="AL191" s="695"/>
      <c r="AM191" s="695"/>
      <c r="AN191" s="695"/>
      <c r="AO191" s="695"/>
      <c r="AP191" s="695"/>
      <c r="AQ191" s="695"/>
      <c r="AR191" s="695"/>
      <c r="AS191" s="718"/>
      <c r="AT191" s="1444"/>
      <c r="AU191" s="1444"/>
      <c r="AV191" s="1444"/>
      <c r="AW191" s="1444"/>
      <c r="AX191" s="1444"/>
      <c r="AY191" s="1444"/>
      <c r="AZ191" s="1444"/>
    </row>
    <row r="192" spans="3:52" ht="15" customHeight="1">
      <c r="C192" s="1519" t="s">
        <v>1299</v>
      </c>
      <c r="D192" s="1519"/>
      <c r="E192" s="1519"/>
      <c r="F192" s="1519"/>
      <c r="G192" s="1519"/>
      <c r="H192" s="1519"/>
      <c r="I192" s="1519"/>
      <c r="J192" s="1519"/>
      <c r="K192" s="1519"/>
      <c r="L192" s="1519"/>
      <c r="M192" s="1519"/>
      <c r="N192" s="1519"/>
      <c r="O192" s="1519"/>
      <c r="P192" s="1519"/>
      <c r="Q192" s="1519"/>
      <c r="R192" s="1519"/>
      <c r="S192" s="1519"/>
      <c r="T192" s="1519"/>
      <c r="U192" s="1519"/>
      <c r="V192" s="1519"/>
      <c r="W192" s="1519"/>
      <c r="X192" s="1519"/>
      <c r="Y192" s="1519"/>
      <c r="Z192" s="1519"/>
      <c r="AA192" s="1519"/>
      <c r="AB192" s="1519"/>
      <c r="AC192" s="1519"/>
      <c r="AD192" s="1519"/>
      <c r="AE192" s="1519"/>
      <c r="AF192" s="1519"/>
      <c r="AG192" s="1519"/>
      <c r="AH192" s="1519"/>
      <c r="AI192" s="1519"/>
      <c r="AJ192" s="1519"/>
      <c r="AK192" s="1519"/>
      <c r="AL192" s="1519"/>
      <c r="AM192" s="1519"/>
      <c r="AN192" s="1519"/>
      <c r="AO192" s="1519"/>
      <c r="AP192" s="1519"/>
      <c r="AQ192" s="1519"/>
      <c r="AR192" s="1519"/>
      <c r="AS192" s="1519"/>
      <c r="AT192" s="1519"/>
      <c r="AU192" s="1519"/>
      <c r="AV192" s="1519"/>
      <c r="AW192" s="1519"/>
      <c r="AX192" s="1519"/>
      <c r="AY192" s="1519"/>
      <c r="AZ192" s="1519"/>
    </row>
    <row r="193" spans="3:52" ht="15" customHeight="1">
      <c r="C193" s="1519"/>
      <c r="D193" s="1519"/>
      <c r="E193" s="1519"/>
      <c r="F193" s="1519"/>
      <c r="G193" s="1519"/>
      <c r="H193" s="1519"/>
      <c r="I193" s="1519"/>
      <c r="J193" s="1519"/>
      <c r="K193" s="1519"/>
      <c r="L193" s="1519"/>
      <c r="M193" s="1519"/>
      <c r="N193" s="1519"/>
      <c r="O193" s="1519"/>
      <c r="P193" s="1519"/>
      <c r="Q193" s="1519"/>
      <c r="R193" s="1519"/>
      <c r="S193" s="1519"/>
      <c r="T193" s="1519"/>
      <c r="U193" s="1519"/>
      <c r="V193" s="1519"/>
      <c r="W193" s="1519"/>
      <c r="X193" s="1519"/>
      <c r="Y193" s="1519"/>
      <c r="Z193" s="1519"/>
      <c r="AA193" s="1519"/>
      <c r="AB193" s="1519"/>
      <c r="AC193" s="1519"/>
      <c r="AD193" s="1519"/>
      <c r="AE193" s="1519"/>
      <c r="AF193" s="1519"/>
      <c r="AG193" s="1519"/>
      <c r="AH193" s="1519"/>
      <c r="AI193" s="1519"/>
      <c r="AJ193" s="1519"/>
      <c r="AK193" s="1519"/>
      <c r="AL193" s="1519"/>
      <c r="AM193" s="1519"/>
      <c r="AN193" s="1519"/>
      <c r="AO193" s="1519"/>
      <c r="AP193" s="1519"/>
      <c r="AQ193" s="1519"/>
      <c r="AR193" s="1519"/>
      <c r="AS193" s="1519"/>
      <c r="AT193" s="1519"/>
      <c r="AU193" s="1519"/>
      <c r="AV193" s="1519"/>
      <c r="AW193" s="1519"/>
      <c r="AX193" s="1519"/>
      <c r="AY193" s="1519"/>
      <c r="AZ193" s="1519"/>
    </row>
    <row r="194" spans="3:52" ht="15" customHeight="1">
      <c r="C194" s="1519"/>
      <c r="D194" s="1519"/>
      <c r="E194" s="1519"/>
      <c r="F194" s="1519"/>
      <c r="G194" s="1519"/>
      <c r="H194" s="1519"/>
      <c r="I194" s="1519"/>
      <c r="J194" s="1519"/>
      <c r="K194" s="1519"/>
      <c r="L194" s="1519"/>
      <c r="M194" s="1519"/>
      <c r="N194" s="1519"/>
      <c r="O194" s="1519"/>
      <c r="P194" s="1519"/>
      <c r="Q194" s="1519"/>
      <c r="R194" s="1519"/>
      <c r="S194" s="1519"/>
      <c r="T194" s="1519"/>
      <c r="U194" s="1519"/>
      <c r="V194" s="1519"/>
      <c r="W194" s="1519"/>
      <c r="X194" s="1519"/>
      <c r="Y194" s="1519"/>
      <c r="Z194" s="1519"/>
      <c r="AA194" s="1519"/>
      <c r="AB194" s="1519"/>
      <c r="AC194" s="1519"/>
      <c r="AD194" s="1519"/>
      <c r="AE194" s="1519"/>
      <c r="AF194" s="1519"/>
      <c r="AG194" s="1519"/>
      <c r="AH194" s="1519"/>
      <c r="AI194" s="1519"/>
      <c r="AJ194" s="1519"/>
      <c r="AK194" s="1519"/>
      <c r="AL194" s="1519"/>
      <c r="AM194" s="1519"/>
      <c r="AN194" s="1519"/>
      <c r="AO194" s="1519"/>
      <c r="AP194" s="1519"/>
      <c r="AQ194" s="1519"/>
      <c r="AR194" s="1519"/>
      <c r="AS194" s="1519"/>
      <c r="AT194" s="1519"/>
      <c r="AU194" s="1519"/>
      <c r="AV194" s="1519"/>
      <c r="AW194" s="1519"/>
      <c r="AX194" s="1519"/>
      <c r="AY194" s="1519"/>
      <c r="AZ194" s="1519"/>
    </row>
    <row r="195" spans="3:52" ht="15" customHeight="1">
      <c r="C195" s="1519"/>
      <c r="D195" s="1519"/>
      <c r="E195" s="1519"/>
      <c r="F195" s="1519"/>
      <c r="G195" s="1519"/>
      <c r="H195" s="1519"/>
      <c r="I195" s="1519"/>
      <c r="J195" s="1519"/>
      <c r="K195" s="1519"/>
      <c r="L195" s="1519"/>
      <c r="M195" s="1519"/>
      <c r="N195" s="1519"/>
      <c r="O195" s="1519"/>
      <c r="P195" s="1519"/>
      <c r="Q195" s="1519"/>
      <c r="R195" s="1519"/>
      <c r="S195" s="1519"/>
      <c r="T195" s="1519"/>
      <c r="U195" s="1519"/>
      <c r="V195" s="1519"/>
      <c r="W195" s="1519"/>
      <c r="X195" s="1519"/>
      <c r="Y195" s="1519"/>
      <c r="Z195" s="1519"/>
      <c r="AA195" s="1519"/>
      <c r="AB195" s="1519"/>
      <c r="AC195" s="1519"/>
      <c r="AD195" s="1519"/>
      <c r="AE195" s="1519"/>
      <c r="AF195" s="1519"/>
      <c r="AG195" s="1519"/>
      <c r="AH195" s="1519"/>
      <c r="AI195" s="1519"/>
      <c r="AJ195" s="1519"/>
      <c r="AK195" s="1519"/>
      <c r="AL195" s="1519"/>
      <c r="AM195" s="1519"/>
      <c r="AN195" s="1519"/>
      <c r="AO195" s="1519"/>
      <c r="AP195" s="1519"/>
      <c r="AQ195" s="1519"/>
      <c r="AR195" s="1519"/>
      <c r="AS195" s="1519"/>
      <c r="AT195" s="1519"/>
      <c r="AU195" s="1519"/>
      <c r="AV195" s="1519"/>
      <c r="AW195" s="1519"/>
      <c r="AX195" s="1519"/>
      <c r="AY195" s="1519"/>
      <c r="AZ195" s="1519"/>
    </row>
    <row r="196" spans="3:52" ht="15" customHeight="1">
      <c r="C196" s="1519"/>
      <c r="D196" s="1519"/>
      <c r="E196" s="1519"/>
      <c r="F196" s="1519"/>
      <c r="G196" s="1519"/>
      <c r="H196" s="1519"/>
      <c r="I196" s="1519"/>
      <c r="J196" s="1519"/>
      <c r="K196" s="1519"/>
      <c r="L196" s="1519"/>
      <c r="M196" s="1519"/>
      <c r="N196" s="1519"/>
      <c r="O196" s="1519"/>
      <c r="P196" s="1519"/>
      <c r="Q196" s="1519"/>
      <c r="R196" s="1519"/>
      <c r="S196" s="1519"/>
      <c r="T196" s="1519"/>
      <c r="U196" s="1519"/>
      <c r="V196" s="1519"/>
      <c r="W196" s="1519"/>
      <c r="X196" s="1519"/>
      <c r="Y196" s="1519"/>
      <c r="Z196" s="1519"/>
      <c r="AA196" s="1519"/>
      <c r="AB196" s="1519"/>
      <c r="AC196" s="1519"/>
      <c r="AD196" s="1519"/>
      <c r="AE196" s="1519"/>
      <c r="AF196" s="1519"/>
      <c r="AG196" s="1519"/>
      <c r="AH196" s="1519"/>
      <c r="AI196" s="1519"/>
      <c r="AJ196" s="1519"/>
      <c r="AK196" s="1519"/>
      <c r="AL196" s="1519"/>
      <c r="AM196" s="1519"/>
      <c r="AN196" s="1519"/>
      <c r="AO196" s="1519"/>
      <c r="AP196" s="1519"/>
      <c r="AQ196" s="1519"/>
      <c r="AR196" s="1519"/>
      <c r="AS196" s="1519"/>
      <c r="AT196" s="1519"/>
      <c r="AU196" s="1519"/>
      <c r="AV196" s="1519"/>
      <c r="AW196" s="1519"/>
      <c r="AX196" s="1519"/>
      <c r="AY196" s="1519"/>
      <c r="AZ196" s="1519"/>
    </row>
    <row r="197" spans="3:52" ht="15" customHeight="1">
      <c r="C197" s="1519"/>
      <c r="D197" s="1519"/>
      <c r="E197" s="1519"/>
      <c r="F197" s="1519"/>
      <c r="G197" s="1519"/>
      <c r="H197" s="1519"/>
      <c r="I197" s="1519"/>
      <c r="J197" s="1519"/>
      <c r="K197" s="1519"/>
      <c r="L197" s="1519"/>
      <c r="M197" s="1519"/>
      <c r="N197" s="1519"/>
      <c r="O197" s="1519"/>
      <c r="P197" s="1519"/>
      <c r="Q197" s="1519"/>
      <c r="R197" s="1519"/>
      <c r="S197" s="1519"/>
      <c r="T197" s="1519"/>
      <c r="U197" s="1519"/>
      <c r="V197" s="1519"/>
      <c r="W197" s="1519"/>
      <c r="X197" s="1519"/>
      <c r="Y197" s="1519"/>
      <c r="Z197" s="1519"/>
      <c r="AA197" s="1519"/>
      <c r="AB197" s="1519"/>
      <c r="AC197" s="1519"/>
      <c r="AD197" s="1519"/>
      <c r="AE197" s="1519"/>
      <c r="AF197" s="1519"/>
      <c r="AG197" s="1519"/>
      <c r="AH197" s="1519"/>
      <c r="AI197" s="1519"/>
      <c r="AJ197" s="1519"/>
      <c r="AK197" s="1519"/>
      <c r="AL197" s="1519"/>
      <c r="AM197" s="1519"/>
      <c r="AN197" s="1519"/>
      <c r="AO197" s="1519"/>
      <c r="AP197" s="1519"/>
      <c r="AQ197" s="1519"/>
      <c r="AR197" s="1519"/>
      <c r="AS197" s="1519"/>
      <c r="AT197" s="1519"/>
      <c r="AU197" s="1519"/>
      <c r="AV197" s="1519"/>
      <c r="AW197" s="1519"/>
      <c r="AX197" s="1519"/>
      <c r="AY197" s="1519"/>
      <c r="AZ197" s="1519"/>
    </row>
    <row r="198" spans="3:52" ht="15" customHeight="1">
      <c r="C198" s="1519"/>
      <c r="D198" s="1519"/>
      <c r="E198" s="1519"/>
      <c r="F198" s="1519"/>
      <c r="G198" s="1519"/>
      <c r="H198" s="1519"/>
      <c r="I198" s="1519"/>
      <c r="J198" s="1519"/>
      <c r="K198" s="1519"/>
      <c r="L198" s="1519"/>
      <c r="M198" s="1519"/>
      <c r="N198" s="1519"/>
      <c r="O198" s="1519"/>
      <c r="P198" s="1519"/>
      <c r="Q198" s="1519"/>
      <c r="R198" s="1519"/>
      <c r="S198" s="1519"/>
      <c r="T198" s="1519"/>
      <c r="U198" s="1519"/>
      <c r="V198" s="1519"/>
      <c r="W198" s="1519"/>
      <c r="X198" s="1519"/>
      <c r="Y198" s="1519"/>
      <c r="Z198" s="1519"/>
      <c r="AA198" s="1519"/>
      <c r="AB198" s="1519"/>
      <c r="AC198" s="1519"/>
      <c r="AD198" s="1519"/>
      <c r="AE198" s="1519"/>
      <c r="AF198" s="1519"/>
      <c r="AG198" s="1519"/>
      <c r="AH198" s="1519"/>
      <c r="AI198" s="1519"/>
      <c r="AJ198" s="1519"/>
      <c r="AK198" s="1519"/>
      <c r="AL198" s="1519"/>
      <c r="AM198" s="1519"/>
      <c r="AN198" s="1519"/>
      <c r="AO198" s="1519"/>
      <c r="AP198" s="1519"/>
      <c r="AQ198" s="1519"/>
      <c r="AR198" s="1519"/>
      <c r="AS198" s="1519"/>
      <c r="AT198" s="1519"/>
      <c r="AU198" s="1519"/>
      <c r="AV198" s="1519"/>
      <c r="AW198" s="1519"/>
      <c r="AX198" s="1519"/>
      <c r="AY198" s="1519"/>
      <c r="AZ198" s="1519"/>
    </row>
    <row r="199" spans="3:52" ht="15" customHeight="1">
      <c r="C199" s="1519"/>
      <c r="D199" s="1519"/>
      <c r="E199" s="1519"/>
      <c r="F199" s="1519"/>
      <c r="G199" s="1519"/>
      <c r="H199" s="1519"/>
      <c r="I199" s="1519"/>
      <c r="J199" s="1519"/>
      <c r="K199" s="1519"/>
      <c r="L199" s="1519"/>
      <c r="M199" s="1519"/>
      <c r="N199" s="1519"/>
      <c r="O199" s="1519"/>
      <c r="P199" s="1519"/>
      <c r="Q199" s="1519"/>
      <c r="R199" s="1519"/>
      <c r="S199" s="1519"/>
      <c r="T199" s="1519"/>
      <c r="U199" s="1519"/>
      <c r="V199" s="1519"/>
      <c r="W199" s="1519"/>
      <c r="X199" s="1519"/>
      <c r="Y199" s="1519"/>
      <c r="Z199" s="1519"/>
      <c r="AA199" s="1519"/>
      <c r="AB199" s="1519"/>
      <c r="AC199" s="1519"/>
      <c r="AD199" s="1519"/>
      <c r="AE199" s="1519"/>
      <c r="AF199" s="1519"/>
      <c r="AG199" s="1519"/>
      <c r="AH199" s="1519"/>
      <c r="AI199" s="1519"/>
      <c r="AJ199" s="1519"/>
      <c r="AK199" s="1519"/>
      <c r="AL199" s="1519"/>
      <c r="AM199" s="1519"/>
      <c r="AN199" s="1519"/>
      <c r="AO199" s="1519"/>
      <c r="AP199" s="1519"/>
      <c r="AQ199" s="1519"/>
      <c r="AR199" s="1519"/>
      <c r="AS199" s="1519"/>
      <c r="AT199" s="1519"/>
      <c r="AU199" s="1519"/>
      <c r="AV199" s="1519"/>
      <c r="AW199" s="1519"/>
      <c r="AX199" s="1519"/>
      <c r="AY199" s="1519"/>
      <c r="AZ199" s="1519"/>
    </row>
    <row r="200" spans="3:52" ht="15" customHeight="1">
      <c r="C200" s="1519"/>
      <c r="D200" s="1519"/>
      <c r="E200" s="1519"/>
      <c r="F200" s="1519"/>
      <c r="G200" s="1519"/>
      <c r="H200" s="1519"/>
      <c r="I200" s="1519"/>
      <c r="J200" s="1519"/>
      <c r="K200" s="1519"/>
      <c r="L200" s="1519"/>
      <c r="M200" s="1519"/>
      <c r="N200" s="1519"/>
      <c r="O200" s="1519"/>
      <c r="P200" s="1519"/>
      <c r="Q200" s="1519"/>
      <c r="R200" s="1519"/>
      <c r="S200" s="1519"/>
      <c r="T200" s="1519"/>
      <c r="U200" s="1519"/>
      <c r="V200" s="1519"/>
      <c r="W200" s="1519"/>
      <c r="X200" s="1519"/>
      <c r="Y200" s="1519"/>
      <c r="Z200" s="1519"/>
      <c r="AA200" s="1519"/>
      <c r="AB200" s="1519"/>
      <c r="AC200" s="1519"/>
      <c r="AD200" s="1519"/>
      <c r="AE200" s="1519"/>
      <c r="AF200" s="1519"/>
      <c r="AG200" s="1519"/>
      <c r="AH200" s="1519"/>
      <c r="AI200" s="1519"/>
      <c r="AJ200" s="1519"/>
      <c r="AK200" s="1519"/>
      <c r="AL200" s="1519"/>
      <c r="AM200" s="1519"/>
      <c r="AN200" s="1519"/>
      <c r="AO200" s="1519"/>
      <c r="AP200" s="1519"/>
      <c r="AQ200" s="1519"/>
      <c r="AR200" s="1519"/>
      <c r="AS200" s="1519"/>
      <c r="AT200" s="1519"/>
      <c r="AU200" s="1519"/>
      <c r="AV200" s="1519"/>
      <c r="AW200" s="1519"/>
      <c r="AX200" s="1519"/>
      <c r="AY200" s="1519"/>
      <c r="AZ200" s="1519"/>
    </row>
    <row r="201" spans="3:52" ht="15" customHeight="1">
      <c r="C201" s="1519"/>
      <c r="D201" s="1519"/>
      <c r="E201" s="1519"/>
      <c r="F201" s="1519"/>
      <c r="G201" s="1519"/>
      <c r="H201" s="1519"/>
      <c r="I201" s="1519"/>
      <c r="J201" s="1519"/>
      <c r="K201" s="1519"/>
      <c r="L201" s="1519"/>
      <c r="M201" s="1519"/>
      <c r="N201" s="1519"/>
      <c r="O201" s="1519"/>
      <c r="P201" s="1519"/>
      <c r="Q201" s="1519"/>
      <c r="R201" s="1519"/>
      <c r="S201" s="1519"/>
      <c r="T201" s="1519"/>
      <c r="U201" s="1519"/>
      <c r="V201" s="1519"/>
      <c r="W201" s="1519"/>
      <c r="X201" s="1519"/>
      <c r="Y201" s="1519"/>
      <c r="Z201" s="1519"/>
      <c r="AA201" s="1519"/>
      <c r="AB201" s="1519"/>
      <c r="AC201" s="1519"/>
      <c r="AD201" s="1519"/>
      <c r="AE201" s="1519"/>
      <c r="AF201" s="1519"/>
      <c r="AG201" s="1519"/>
      <c r="AH201" s="1519"/>
      <c r="AI201" s="1519"/>
      <c r="AJ201" s="1519"/>
      <c r="AK201" s="1519"/>
      <c r="AL201" s="1519"/>
      <c r="AM201" s="1519"/>
      <c r="AN201" s="1519"/>
      <c r="AO201" s="1519"/>
      <c r="AP201" s="1519"/>
      <c r="AQ201" s="1519"/>
      <c r="AR201" s="1519"/>
      <c r="AS201" s="1519"/>
      <c r="AT201" s="1519"/>
      <c r="AU201" s="1519"/>
      <c r="AV201" s="1519"/>
      <c r="AW201" s="1519"/>
      <c r="AX201" s="1519"/>
      <c r="AY201" s="1519"/>
      <c r="AZ201" s="1519"/>
    </row>
    <row r="202" spans="3:52" ht="15" customHeight="1">
      <c r="C202" s="1519"/>
      <c r="D202" s="1519"/>
      <c r="E202" s="1519"/>
      <c r="F202" s="1519"/>
      <c r="G202" s="1519"/>
      <c r="H202" s="1519"/>
      <c r="I202" s="1519"/>
      <c r="J202" s="1519"/>
      <c r="K202" s="1519"/>
      <c r="L202" s="1519"/>
      <c r="M202" s="1519"/>
      <c r="N202" s="1519"/>
      <c r="O202" s="1519"/>
      <c r="P202" s="1519"/>
      <c r="Q202" s="1519"/>
      <c r="R202" s="1519"/>
      <c r="S202" s="1519"/>
      <c r="T202" s="1519"/>
      <c r="U202" s="1519"/>
      <c r="V202" s="1519"/>
      <c r="W202" s="1519"/>
      <c r="X202" s="1519"/>
      <c r="Y202" s="1519"/>
      <c r="Z202" s="1519"/>
      <c r="AA202" s="1519"/>
      <c r="AB202" s="1519"/>
      <c r="AC202" s="1519"/>
      <c r="AD202" s="1519"/>
      <c r="AE202" s="1519"/>
      <c r="AF202" s="1519"/>
      <c r="AG202" s="1519"/>
      <c r="AH202" s="1519"/>
      <c r="AI202" s="1519"/>
      <c r="AJ202" s="1519"/>
      <c r="AK202" s="1519"/>
      <c r="AL202" s="1519"/>
      <c r="AM202" s="1519"/>
      <c r="AN202" s="1519"/>
      <c r="AO202" s="1519"/>
      <c r="AP202" s="1519"/>
      <c r="AQ202" s="1519"/>
      <c r="AR202" s="1519"/>
      <c r="AS202" s="1519"/>
      <c r="AT202" s="1519"/>
      <c r="AU202" s="1519"/>
      <c r="AV202" s="1519"/>
      <c r="AW202" s="1519"/>
      <c r="AX202" s="1519"/>
      <c r="AY202" s="1519"/>
      <c r="AZ202" s="1519"/>
    </row>
    <row r="203" spans="3:52" ht="15" customHeight="1">
      <c r="C203" s="1519"/>
      <c r="D203" s="1519"/>
      <c r="E203" s="1519"/>
      <c r="F203" s="1519"/>
      <c r="G203" s="1519"/>
      <c r="H203" s="1519"/>
      <c r="I203" s="1519"/>
      <c r="J203" s="1519"/>
      <c r="K203" s="1519"/>
      <c r="L203" s="1519"/>
      <c r="M203" s="1519"/>
      <c r="N203" s="1519"/>
      <c r="O203" s="1519"/>
      <c r="P203" s="1519"/>
      <c r="Q203" s="1519"/>
      <c r="R203" s="1519"/>
      <c r="S203" s="1519"/>
      <c r="T203" s="1519"/>
      <c r="U203" s="1519"/>
      <c r="V203" s="1519"/>
      <c r="W203" s="1519"/>
      <c r="X203" s="1519"/>
      <c r="Y203" s="1519"/>
      <c r="Z203" s="1519"/>
      <c r="AA203" s="1519"/>
      <c r="AB203" s="1519"/>
      <c r="AC203" s="1519"/>
      <c r="AD203" s="1519"/>
      <c r="AE203" s="1519"/>
      <c r="AF203" s="1519"/>
      <c r="AG203" s="1519"/>
      <c r="AH203" s="1519"/>
      <c r="AI203" s="1519"/>
      <c r="AJ203" s="1519"/>
      <c r="AK203" s="1519"/>
      <c r="AL203" s="1519"/>
      <c r="AM203" s="1519"/>
      <c r="AN203" s="1519"/>
      <c r="AO203" s="1519"/>
      <c r="AP203" s="1519"/>
      <c r="AQ203" s="1519"/>
      <c r="AR203" s="1519"/>
      <c r="AS203" s="1519"/>
      <c r="AT203" s="1519"/>
      <c r="AU203" s="1519"/>
      <c r="AV203" s="1519"/>
      <c r="AW203" s="1519"/>
      <c r="AX203" s="1519"/>
      <c r="AY203" s="1519"/>
      <c r="AZ203" s="1519"/>
    </row>
    <row r="204" spans="3:52" ht="15" customHeight="1">
      <c r="C204" s="1519"/>
      <c r="D204" s="1519"/>
      <c r="E204" s="1519"/>
      <c r="F204" s="1519"/>
      <c r="G204" s="1519"/>
      <c r="H204" s="1519"/>
      <c r="I204" s="1519"/>
      <c r="J204" s="1519"/>
      <c r="K204" s="1519"/>
      <c r="L204" s="1519"/>
      <c r="M204" s="1519"/>
      <c r="N204" s="1519"/>
      <c r="O204" s="1519"/>
      <c r="P204" s="1519"/>
      <c r="Q204" s="1519"/>
      <c r="R204" s="1519"/>
      <c r="S204" s="1519"/>
      <c r="T204" s="1519"/>
      <c r="U204" s="1519"/>
      <c r="V204" s="1519"/>
      <c r="W204" s="1519"/>
      <c r="X204" s="1519"/>
      <c r="Y204" s="1519"/>
      <c r="Z204" s="1519"/>
      <c r="AA204" s="1519"/>
      <c r="AB204" s="1519"/>
      <c r="AC204" s="1519"/>
      <c r="AD204" s="1519"/>
      <c r="AE204" s="1519"/>
      <c r="AF204" s="1519"/>
      <c r="AG204" s="1519"/>
      <c r="AH204" s="1519"/>
      <c r="AI204" s="1519"/>
      <c r="AJ204" s="1519"/>
      <c r="AK204" s="1519"/>
      <c r="AL204" s="1519"/>
      <c r="AM204" s="1519"/>
      <c r="AN204" s="1519"/>
      <c r="AO204" s="1519"/>
      <c r="AP204" s="1519"/>
      <c r="AQ204" s="1519"/>
      <c r="AR204" s="1519"/>
      <c r="AS204" s="1519"/>
      <c r="AT204" s="1519"/>
      <c r="AU204" s="1519"/>
      <c r="AV204" s="1519"/>
      <c r="AW204" s="1519"/>
      <c r="AX204" s="1519"/>
      <c r="AY204" s="1519"/>
      <c r="AZ204" s="1519"/>
    </row>
    <row r="205" spans="3:52" ht="15" customHeight="1">
      <c r="C205" s="1519"/>
      <c r="D205" s="1519"/>
      <c r="E205" s="1519"/>
      <c r="F205" s="1519"/>
      <c r="G205" s="1519"/>
      <c r="H205" s="1519"/>
      <c r="I205" s="1519"/>
      <c r="J205" s="1519"/>
      <c r="K205" s="1519"/>
      <c r="L205" s="1519"/>
      <c r="M205" s="1519"/>
      <c r="N205" s="1519"/>
      <c r="O205" s="1519"/>
      <c r="P205" s="1519"/>
      <c r="Q205" s="1519"/>
      <c r="R205" s="1519"/>
      <c r="S205" s="1519"/>
      <c r="T205" s="1519"/>
      <c r="U205" s="1519"/>
      <c r="V205" s="1519"/>
      <c r="W205" s="1519"/>
      <c r="X205" s="1519"/>
      <c r="Y205" s="1519"/>
      <c r="Z205" s="1519"/>
      <c r="AA205" s="1519"/>
      <c r="AB205" s="1519"/>
      <c r="AC205" s="1519"/>
      <c r="AD205" s="1519"/>
      <c r="AE205" s="1519"/>
      <c r="AF205" s="1519"/>
      <c r="AG205" s="1519"/>
      <c r="AH205" s="1519"/>
      <c r="AI205" s="1519"/>
      <c r="AJ205" s="1519"/>
      <c r="AK205" s="1519"/>
      <c r="AL205" s="1519"/>
      <c r="AM205" s="1519"/>
      <c r="AN205" s="1519"/>
      <c r="AO205" s="1519"/>
      <c r="AP205" s="1519"/>
      <c r="AQ205" s="1519"/>
      <c r="AR205" s="1519"/>
      <c r="AS205" s="1519"/>
      <c r="AT205" s="1519"/>
      <c r="AU205" s="1519"/>
      <c r="AV205" s="1519"/>
      <c r="AW205" s="1519"/>
      <c r="AX205" s="1519"/>
      <c r="AY205" s="1519"/>
      <c r="AZ205" s="1519"/>
    </row>
    <row r="206" spans="3:52" ht="15" customHeight="1">
      <c r="C206" s="1519"/>
      <c r="D206" s="1519"/>
      <c r="E206" s="1519"/>
      <c r="F206" s="1519"/>
      <c r="G206" s="1519"/>
      <c r="H206" s="1519"/>
      <c r="I206" s="1519"/>
      <c r="J206" s="1519"/>
      <c r="K206" s="1519"/>
      <c r="L206" s="1519"/>
      <c r="M206" s="1519"/>
      <c r="N206" s="1519"/>
      <c r="O206" s="1519"/>
      <c r="P206" s="1519"/>
      <c r="Q206" s="1519"/>
      <c r="R206" s="1519"/>
      <c r="S206" s="1519"/>
      <c r="T206" s="1519"/>
      <c r="U206" s="1519"/>
      <c r="V206" s="1519"/>
      <c r="W206" s="1519"/>
      <c r="X206" s="1519"/>
      <c r="Y206" s="1519"/>
      <c r="Z206" s="1519"/>
      <c r="AA206" s="1519"/>
      <c r="AB206" s="1519"/>
      <c r="AC206" s="1519"/>
      <c r="AD206" s="1519"/>
      <c r="AE206" s="1519"/>
      <c r="AF206" s="1519"/>
      <c r="AG206" s="1519"/>
      <c r="AH206" s="1519"/>
      <c r="AI206" s="1519"/>
      <c r="AJ206" s="1519"/>
      <c r="AK206" s="1519"/>
      <c r="AL206" s="1519"/>
      <c r="AM206" s="1519"/>
      <c r="AN206" s="1519"/>
      <c r="AO206" s="1519"/>
      <c r="AP206" s="1519"/>
      <c r="AQ206" s="1519"/>
      <c r="AR206" s="1519"/>
      <c r="AS206" s="1519"/>
      <c r="AT206" s="1519"/>
      <c r="AU206" s="1519"/>
      <c r="AV206" s="1519"/>
      <c r="AW206" s="1519"/>
      <c r="AX206" s="1519"/>
      <c r="AY206" s="1519"/>
      <c r="AZ206" s="1519"/>
    </row>
    <row r="207" spans="3:52" ht="15" customHeight="1">
      <c r="C207" s="1519"/>
      <c r="D207" s="1519"/>
      <c r="E207" s="1519"/>
      <c r="F207" s="1519"/>
      <c r="G207" s="1519"/>
      <c r="H207" s="1519"/>
      <c r="I207" s="1519"/>
      <c r="J207" s="1519"/>
      <c r="K207" s="1519"/>
      <c r="L207" s="1519"/>
      <c r="M207" s="1519"/>
      <c r="N207" s="1519"/>
      <c r="O207" s="1519"/>
      <c r="P207" s="1519"/>
      <c r="Q207" s="1519"/>
      <c r="R207" s="1519"/>
      <c r="S207" s="1519"/>
      <c r="T207" s="1519"/>
      <c r="U207" s="1519"/>
      <c r="V207" s="1519"/>
      <c r="W207" s="1519"/>
      <c r="X207" s="1519"/>
      <c r="Y207" s="1519"/>
      <c r="Z207" s="1519"/>
      <c r="AA207" s="1519"/>
      <c r="AB207" s="1519"/>
      <c r="AC207" s="1519"/>
      <c r="AD207" s="1519"/>
      <c r="AE207" s="1519"/>
      <c r="AF207" s="1519"/>
      <c r="AG207" s="1519"/>
      <c r="AH207" s="1519"/>
      <c r="AI207" s="1519"/>
      <c r="AJ207" s="1519"/>
      <c r="AK207" s="1519"/>
      <c r="AL207" s="1519"/>
      <c r="AM207" s="1519"/>
      <c r="AN207" s="1519"/>
      <c r="AO207" s="1519"/>
      <c r="AP207" s="1519"/>
      <c r="AQ207" s="1519"/>
      <c r="AR207" s="1519"/>
      <c r="AS207" s="1519"/>
      <c r="AT207" s="1519"/>
      <c r="AU207" s="1519"/>
      <c r="AV207" s="1519"/>
      <c r="AW207" s="1519"/>
      <c r="AX207" s="1519"/>
      <c r="AY207" s="1519"/>
      <c r="AZ207" s="1519"/>
    </row>
    <row r="208" spans="3:52" ht="15" customHeight="1">
      <c r="C208" s="1519"/>
      <c r="D208" s="1519"/>
      <c r="E208" s="1519"/>
      <c r="F208" s="1519"/>
      <c r="G208" s="1519"/>
      <c r="H208" s="1519"/>
      <c r="I208" s="1519"/>
      <c r="J208" s="1519"/>
      <c r="K208" s="1519"/>
      <c r="L208" s="1519"/>
      <c r="M208" s="1519"/>
      <c r="N208" s="1519"/>
      <c r="O208" s="1519"/>
      <c r="P208" s="1519"/>
      <c r="Q208" s="1519"/>
      <c r="R208" s="1519"/>
      <c r="S208" s="1519"/>
      <c r="T208" s="1519"/>
      <c r="U208" s="1519"/>
      <c r="V208" s="1519"/>
      <c r="W208" s="1519"/>
      <c r="X208" s="1519"/>
      <c r="Y208" s="1519"/>
      <c r="Z208" s="1519"/>
      <c r="AA208" s="1519"/>
      <c r="AB208" s="1519"/>
      <c r="AC208" s="1519"/>
      <c r="AD208" s="1519"/>
      <c r="AE208" s="1519"/>
      <c r="AF208" s="1519"/>
      <c r="AG208" s="1519"/>
      <c r="AH208" s="1519"/>
      <c r="AI208" s="1519"/>
      <c r="AJ208" s="1519"/>
      <c r="AK208" s="1519"/>
      <c r="AL208" s="1519"/>
      <c r="AM208" s="1519"/>
      <c r="AN208" s="1519"/>
      <c r="AO208" s="1519"/>
      <c r="AP208" s="1519"/>
      <c r="AQ208" s="1519"/>
      <c r="AR208" s="1519"/>
      <c r="AS208" s="1519"/>
      <c r="AT208" s="1519"/>
      <c r="AU208" s="1519"/>
      <c r="AV208" s="1519"/>
      <c r="AW208" s="1519"/>
      <c r="AX208" s="1519"/>
      <c r="AY208" s="1519"/>
      <c r="AZ208" s="1519"/>
    </row>
    <row r="209" spans="3:52" ht="15" customHeight="1">
      <c r="C209" s="1519"/>
      <c r="D209" s="1519"/>
      <c r="E209" s="1519"/>
      <c r="F209" s="1519"/>
      <c r="G209" s="1519"/>
      <c r="H209" s="1519"/>
      <c r="I209" s="1519"/>
      <c r="J209" s="1519"/>
      <c r="K209" s="1519"/>
      <c r="L209" s="1519"/>
      <c r="M209" s="1519"/>
      <c r="N209" s="1519"/>
      <c r="O209" s="1519"/>
      <c r="P209" s="1519"/>
      <c r="Q209" s="1519"/>
      <c r="R209" s="1519"/>
      <c r="S209" s="1519"/>
      <c r="T209" s="1519"/>
      <c r="U209" s="1519"/>
      <c r="V209" s="1519"/>
      <c r="W209" s="1519"/>
      <c r="X209" s="1519"/>
      <c r="Y209" s="1519"/>
      <c r="Z209" s="1519"/>
      <c r="AA209" s="1519"/>
      <c r="AB209" s="1519"/>
      <c r="AC209" s="1519"/>
      <c r="AD209" s="1519"/>
      <c r="AE209" s="1519"/>
      <c r="AF209" s="1519"/>
      <c r="AG209" s="1519"/>
      <c r="AH209" s="1519"/>
      <c r="AI209" s="1519"/>
      <c r="AJ209" s="1519"/>
      <c r="AK209" s="1519"/>
      <c r="AL209" s="1519"/>
      <c r="AM209" s="1519"/>
      <c r="AN209" s="1519"/>
      <c r="AO209" s="1519"/>
      <c r="AP209" s="1519"/>
      <c r="AQ209" s="1519"/>
      <c r="AR209" s="1519"/>
      <c r="AS209" s="1519"/>
      <c r="AT209" s="1519"/>
      <c r="AU209" s="1519"/>
      <c r="AV209" s="1519"/>
      <c r="AW209" s="1519"/>
      <c r="AX209" s="1519"/>
      <c r="AY209" s="1519"/>
      <c r="AZ209" s="1519"/>
    </row>
    <row r="210" spans="3:52" ht="15" customHeight="1">
      <c r="C210" s="1519"/>
      <c r="D210" s="1519"/>
      <c r="E210" s="1519"/>
      <c r="F210" s="1519"/>
      <c r="G210" s="1519"/>
      <c r="H210" s="1519"/>
      <c r="I210" s="1519"/>
      <c r="J210" s="1519"/>
      <c r="K210" s="1519"/>
      <c r="L210" s="1519"/>
      <c r="M210" s="1519"/>
      <c r="N210" s="1519"/>
      <c r="O210" s="1519"/>
      <c r="P210" s="1519"/>
      <c r="Q210" s="1519"/>
      <c r="R210" s="1519"/>
      <c r="S210" s="1519"/>
      <c r="T210" s="1519"/>
      <c r="U210" s="1519"/>
      <c r="V210" s="1519"/>
      <c r="W210" s="1519"/>
      <c r="X210" s="1519"/>
      <c r="Y210" s="1519"/>
      <c r="Z210" s="1519"/>
      <c r="AA210" s="1519"/>
      <c r="AB210" s="1519"/>
      <c r="AC210" s="1519"/>
      <c r="AD210" s="1519"/>
      <c r="AE210" s="1519"/>
      <c r="AF210" s="1519"/>
      <c r="AG210" s="1519"/>
      <c r="AH210" s="1519"/>
      <c r="AI210" s="1519"/>
      <c r="AJ210" s="1519"/>
      <c r="AK210" s="1519"/>
      <c r="AL210" s="1519"/>
      <c r="AM210" s="1519"/>
      <c r="AN210" s="1519"/>
      <c r="AO210" s="1519"/>
      <c r="AP210" s="1519"/>
      <c r="AQ210" s="1519"/>
      <c r="AR210" s="1519"/>
      <c r="AS210" s="1519"/>
      <c r="AT210" s="1519"/>
      <c r="AU210" s="1519"/>
      <c r="AV210" s="1519"/>
      <c r="AW210" s="1519"/>
      <c r="AX210" s="1519"/>
      <c r="AY210" s="1519"/>
      <c r="AZ210" s="1519"/>
    </row>
    <row r="211" spans="3:52" ht="15" customHeight="1">
      <c r="C211" s="1519"/>
      <c r="D211" s="1519"/>
      <c r="E211" s="1519"/>
      <c r="F211" s="1519"/>
      <c r="G211" s="1519"/>
      <c r="H211" s="1519"/>
      <c r="I211" s="1519"/>
      <c r="J211" s="1519"/>
      <c r="K211" s="1519"/>
      <c r="L211" s="1519"/>
      <c r="M211" s="1519"/>
      <c r="N211" s="1519"/>
      <c r="O211" s="1519"/>
      <c r="P211" s="1519"/>
      <c r="Q211" s="1519"/>
      <c r="R211" s="1519"/>
      <c r="S211" s="1519"/>
      <c r="T211" s="1519"/>
      <c r="U211" s="1519"/>
      <c r="V211" s="1519"/>
      <c r="W211" s="1519"/>
      <c r="X211" s="1519"/>
      <c r="Y211" s="1519"/>
      <c r="Z211" s="1519"/>
      <c r="AA211" s="1519"/>
      <c r="AB211" s="1519"/>
      <c r="AC211" s="1519"/>
      <c r="AD211" s="1519"/>
      <c r="AE211" s="1519"/>
      <c r="AF211" s="1519"/>
      <c r="AG211" s="1519"/>
      <c r="AH211" s="1519"/>
      <c r="AI211" s="1519"/>
      <c r="AJ211" s="1519"/>
      <c r="AK211" s="1519"/>
      <c r="AL211" s="1519"/>
      <c r="AM211" s="1519"/>
      <c r="AN211" s="1519"/>
      <c r="AO211" s="1519"/>
      <c r="AP211" s="1519"/>
      <c r="AQ211" s="1519"/>
      <c r="AR211" s="1519"/>
      <c r="AS211" s="1519"/>
      <c r="AT211" s="1519"/>
      <c r="AU211" s="1519"/>
      <c r="AV211" s="1519"/>
      <c r="AW211" s="1519"/>
      <c r="AX211" s="1519"/>
      <c r="AY211" s="1519"/>
      <c r="AZ211" s="1519"/>
    </row>
    <row r="212" spans="3:52" ht="15" customHeight="1">
      <c r="C212" s="1519"/>
      <c r="D212" s="1519"/>
      <c r="E212" s="1519"/>
      <c r="F212" s="1519"/>
      <c r="G212" s="1519"/>
      <c r="H212" s="1519"/>
      <c r="I212" s="1519"/>
      <c r="J212" s="1519"/>
      <c r="K212" s="1519"/>
      <c r="L212" s="1519"/>
      <c r="M212" s="1519"/>
      <c r="N212" s="1519"/>
      <c r="O212" s="1519"/>
      <c r="P212" s="1519"/>
      <c r="Q212" s="1519"/>
      <c r="R212" s="1519"/>
      <c r="S212" s="1519"/>
      <c r="T212" s="1519"/>
      <c r="U212" s="1519"/>
      <c r="V212" s="1519"/>
      <c r="W212" s="1519"/>
      <c r="X212" s="1519"/>
      <c r="Y212" s="1519"/>
      <c r="Z212" s="1519"/>
      <c r="AA212" s="1519"/>
      <c r="AB212" s="1519"/>
      <c r="AC212" s="1519"/>
      <c r="AD212" s="1519"/>
      <c r="AE212" s="1519"/>
      <c r="AF212" s="1519"/>
      <c r="AG212" s="1519"/>
      <c r="AH212" s="1519"/>
      <c r="AI212" s="1519"/>
      <c r="AJ212" s="1519"/>
      <c r="AK212" s="1519"/>
      <c r="AL212" s="1519"/>
      <c r="AM212" s="1519"/>
      <c r="AN212" s="1519"/>
      <c r="AO212" s="1519"/>
      <c r="AP212" s="1519"/>
      <c r="AQ212" s="1519"/>
      <c r="AR212" s="1519"/>
      <c r="AS212" s="1519"/>
      <c r="AT212" s="1519"/>
      <c r="AU212" s="1519"/>
      <c r="AV212" s="1519"/>
      <c r="AW212" s="1519"/>
      <c r="AX212" s="1519"/>
      <c r="AY212" s="1519"/>
      <c r="AZ212" s="1519"/>
    </row>
    <row r="213" spans="3:52" ht="15" customHeight="1">
      <c r="C213" s="1519"/>
      <c r="D213" s="1519"/>
      <c r="E213" s="1519"/>
      <c r="F213" s="1519"/>
      <c r="G213" s="1519"/>
      <c r="H213" s="1519"/>
      <c r="I213" s="1519"/>
      <c r="J213" s="1519"/>
      <c r="K213" s="1519"/>
      <c r="L213" s="1519"/>
      <c r="M213" s="1519"/>
      <c r="N213" s="1519"/>
      <c r="O213" s="1519"/>
      <c r="P213" s="1519"/>
      <c r="Q213" s="1519"/>
      <c r="R213" s="1519"/>
      <c r="S213" s="1519"/>
      <c r="T213" s="1519"/>
      <c r="U213" s="1519"/>
      <c r="V213" s="1519"/>
      <c r="W213" s="1519"/>
      <c r="X213" s="1519"/>
      <c r="Y213" s="1519"/>
      <c r="Z213" s="1519"/>
      <c r="AA213" s="1519"/>
      <c r="AB213" s="1519"/>
      <c r="AC213" s="1519"/>
      <c r="AD213" s="1519"/>
      <c r="AE213" s="1519"/>
      <c r="AF213" s="1519"/>
      <c r="AG213" s="1519"/>
      <c r="AH213" s="1519"/>
      <c r="AI213" s="1519"/>
      <c r="AJ213" s="1519"/>
      <c r="AK213" s="1519"/>
      <c r="AL213" s="1519"/>
      <c r="AM213" s="1519"/>
      <c r="AN213" s="1519"/>
      <c r="AO213" s="1519"/>
      <c r="AP213" s="1519"/>
      <c r="AQ213" s="1519"/>
      <c r="AR213" s="1519"/>
      <c r="AS213" s="1519"/>
      <c r="AT213" s="1519"/>
      <c r="AU213" s="1519"/>
      <c r="AV213" s="1519"/>
      <c r="AW213" s="1519"/>
      <c r="AX213" s="1519"/>
      <c r="AY213" s="1519"/>
      <c r="AZ213" s="1519"/>
    </row>
    <row r="214" spans="3:52" ht="15" customHeight="1">
      <c r="C214" s="1519"/>
      <c r="D214" s="1519"/>
      <c r="E214" s="1519"/>
      <c r="F214" s="1519"/>
      <c r="G214" s="1519"/>
      <c r="H214" s="1519"/>
      <c r="I214" s="1519"/>
      <c r="J214" s="1519"/>
      <c r="K214" s="1519"/>
      <c r="L214" s="1519"/>
      <c r="M214" s="1519"/>
      <c r="N214" s="1519"/>
      <c r="O214" s="1519"/>
      <c r="P214" s="1519"/>
      <c r="Q214" s="1519"/>
      <c r="R214" s="1519"/>
      <c r="S214" s="1519"/>
      <c r="T214" s="1519"/>
      <c r="U214" s="1519"/>
      <c r="V214" s="1519"/>
      <c r="W214" s="1519"/>
      <c r="X214" s="1519"/>
      <c r="Y214" s="1519"/>
      <c r="Z214" s="1519"/>
      <c r="AA214" s="1519"/>
      <c r="AB214" s="1519"/>
      <c r="AC214" s="1519"/>
      <c r="AD214" s="1519"/>
      <c r="AE214" s="1519"/>
      <c r="AF214" s="1519"/>
      <c r="AG214" s="1519"/>
      <c r="AH214" s="1519"/>
      <c r="AI214" s="1519"/>
      <c r="AJ214" s="1519"/>
      <c r="AK214" s="1519"/>
      <c r="AL214" s="1519"/>
      <c r="AM214" s="1519"/>
      <c r="AN214" s="1519"/>
      <c r="AO214" s="1519"/>
      <c r="AP214" s="1519"/>
      <c r="AQ214" s="1519"/>
      <c r="AR214" s="1519"/>
      <c r="AS214" s="1519"/>
      <c r="AT214" s="1519"/>
      <c r="AU214" s="1519"/>
      <c r="AV214" s="1519"/>
      <c r="AW214" s="1519"/>
      <c r="AX214" s="1519"/>
      <c r="AY214" s="1519"/>
      <c r="AZ214" s="1519"/>
    </row>
    <row r="215" spans="3:52" ht="15" customHeight="1"/>
    <row r="216" spans="3:52" ht="15" customHeight="1"/>
    <row r="217" spans="3:52" ht="15" customHeight="1"/>
    <row r="218" spans="3:52" ht="15" customHeight="1"/>
    <row r="219" spans="3:52" ht="15" customHeight="1"/>
    <row r="220" spans="3:52" ht="15" customHeight="1"/>
    <row r="221" spans="3:52" ht="15" customHeight="1"/>
    <row r="222" spans="3:52" ht="15" customHeight="1">
      <c r="C222" s="714"/>
      <c r="D222" s="714"/>
      <c r="E222" s="714"/>
      <c r="F222" s="714"/>
      <c r="G222" s="714"/>
      <c r="H222" s="714"/>
      <c r="I222" s="714"/>
      <c r="J222" s="714"/>
      <c r="K222" s="714"/>
      <c r="L222" s="714"/>
      <c r="M222" s="714"/>
      <c r="N222" s="714"/>
      <c r="O222" s="714"/>
      <c r="P222" s="714"/>
      <c r="Q222" s="714"/>
      <c r="R222" s="714"/>
      <c r="S222" s="714"/>
      <c r="T222" s="714"/>
      <c r="U222" s="714"/>
      <c r="V222" s="714"/>
      <c r="W222" s="714"/>
      <c r="X222" s="714"/>
      <c r="Y222" s="714"/>
      <c r="Z222" s="715"/>
      <c r="AA222" s="730"/>
      <c r="AB222" s="714"/>
      <c r="AC222" s="714"/>
      <c r="AD222" s="714"/>
      <c r="AE222" s="714"/>
      <c r="AF222" s="714"/>
      <c r="AG222" s="714"/>
      <c r="AH222" s="714"/>
      <c r="AI222" s="714"/>
      <c r="AJ222" s="714"/>
      <c r="AK222" s="714"/>
      <c r="AL222" s="714"/>
      <c r="AM222" s="714"/>
      <c r="AN222" s="714"/>
      <c r="AO222" s="714"/>
      <c r="AP222" s="714"/>
      <c r="AQ222" s="714"/>
      <c r="AR222" s="714"/>
      <c r="AS222" s="714"/>
      <c r="AT222" s="716" t="str">
        <f>AT42</f>
        <v/>
      </c>
      <c r="AU222" s="717"/>
      <c r="AV222" s="1443" t="s">
        <v>564</v>
      </c>
      <c r="AW222" s="1443"/>
      <c r="AX222" s="1443"/>
      <c r="AY222" s="1443"/>
      <c r="AZ222" s="1443"/>
    </row>
    <row r="223" spans="3:52" ht="15" customHeight="1"/>
    <row r="224" spans="3:52" ht="15" customHeight="1">
      <c r="Z224" s="692"/>
      <c r="AA224" s="692"/>
    </row>
    <row r="225" spans="3:53" ht="26.25">
      <c r="C225" s="693" t="s">
        <v>570</v>
      </c>
      <c r="Z225" s="692"/>
      <c r="AA225" s="692"/>
    </row>
    <row r="226" spans="3:53" ht="15" customHeight="1">
      <c r="Z226" s="692"/>
      <c r="AA226" s="692"/>
    </row>
    <row r="227" spans="3:53" ht="22.5" customHeight="1">
      <c r="C227" s="694" t="s">
        <v>1251</v>
      </c>
      <c r="D227" s="695"/>
      <c r="E227" s="695"/>
      <c r="F227" s="695"/>
      <c r="G227" s="695"/>
      <c r="H227" s="695"/>
      <c r="I227" s="695"/>
      <c r="J227" s="695"/>
      <c r="K227" s="695"/>
      <c r="L227" s="695"/>
      <c r="M227" s="695"/>
      <c r="N227" s="695"/>
      <c r="O227" s="695"/>
      <c r="P227" s="695"/>
      <c r="Q227" s="695"/>
      <c r="R227" s="695"/>
      <c r="S227" s="695"/>
      <c r="T227" s="695"/>
      <c r="U227" s="695"/>
      <c r="V227" s="695"/>
      <c r="W227" s="695"/>
      <c r="X227" s="695"/>
      <c r="Y227" s="695"/>
      <c r="Z227" s="696"/>
      <c r="AA227" s="696"/>
      <c r="AB227" s="695"/>
      <c r="AC227" s="695"/>
      <c r="AD227" s="695"/>
      <c r="AE227" s="695"/>
      <c r="AF227" s="695"/>
      <c r="AG227" s="695"/>
      <c r="AH227" s="695"/>
      <c r="AI227" s="695"/>
      <c r="AJ227" s="695"/>
      <c r="AK227" s="695"/>
      <c r="AL227" s="695"/>
      <c r="AM227" s="695"/>
      <c r="AN227" s="695"/>
      <c r="AO227" s="695"/>
      <c r="AP227" s="695"/>
      <c r="AQ227" s="695"/>
      <c r="AR227" s="695"/>
      <c r="AS227" s="718"/>
      <c r="AT227" s="1444"/>
      <c r="AU227" s="1444"/>
      <c r="AV227" s="1444"/>
      <c r="AW227" s="1444"/>
      <c r="AX227" s="1444"/>
      <c r="AY227" s="1444"/>
      <c r="AZ227" s="1444"/>
    </row>
    <row r="228" spans="3:53" ht="15" customHeight="1">
      <c r="C228" s="1186"/>
      <c r="D228" s="1186"/>
      <c r="E228" s="1186"/>
      <c r="F228" s="1186"/>
      <c r="G228" s="1186"/>
      <c r="H228" s="1186"/>
      <c r="I228" s="1186"/>
      <c r="J228" s="1186"/>
      <c r="K228" s="1186"/>
      <c r="L228" s="1186"/>
      <c r="M228" s="1186"/>
      <c r="N228" s="1186"/>
      <c r="O228" s="1186"/>
      <c r="P228" s="1186"/>
      <c r="Q228" s="1186"/>
      <c r="R228" s="1186"/>
      <c r="S228" s="1186"/>
      <c r="T228" s="1186"/>
      <c r="U228" s="1186"/>
      <c r="V228" s="1186"/>
      <c r="W228" s="1186"/>
      <c r="X228" s="1186"/>
      <c r="Y228" s="1186"/>
      <c r="Z228" s="1186"/>
      <c r="AA228" s="1186"/>
      <c r="AB228" s="1186"/>
      <c r="AC228" s="1186"/>
      <c r="AD228" s="1186"/>
      <c r="AE228" s="1186"/>
      <c r="AF228" s="1186"/>
      <c r="AG228" s="1186"/>
      <c r="AH228" s="1186"/>
      <c r="AI228" s="1186"/>
      <c r="AJ228" s="1186"/>
      <c r="AK228" s="1186"/>
      <c r="AL228" s="1186"/>
      <c r="AM228" s="1186"/>
      <c r="AN228" s="1186"/>
      <c r="AO228" s="1186"/>
      <c r="AP228" s="1186"/>
      <c r="AQ228" s="1186"/>
      <c r="AR228" s="1186"/>
      <c r="AS228" s="1186"/>
      <c r="AT228" s="1186"/>
      <c r="AU228" s="1186"/>
      <c r="AV228" s="1186"/>
      <c r="AW228" s="1186"/>
      <c r="AX228" s="1186"/>
      <c r="AY228" s="1186"/>
      <c r="AZ228" s="1186"/>
    </row>
    <row r="229" spans="3:53" ht="15" customHeight="1">
      <c r="C229" s="1531" t="s">
        <v>1300</v>
      </c>
      <c r="D229" s="1531"/>
      <c r="E229" s="1531"/>
      <c r="F229" s="1531"/>
      <c r="G229" s="1531"/>
      <c r="H229" s="1531"/>
      <c r="I229" s="1531"/>
      <c r="J229" s="1531"/>
      <c r="K229" s="1531"/>
      <c r="L229" s="1531"/>
      <c r="M229" s="1531"/>
      <c r="N229" s="1531"/>
      <c r="O229" s="1531"/>
      <c r="P229" s="1531"/>
      <c r="Q229" s="1531"/>
      <c r="R229" s="1531"/>
      <c r="S229" s="1531"/>
      <c r="T229" s="1531"/>
      <c r="U229" s="1531"/>
      <c r="V229" s="1531"/>
      <c r="W229" s="1531"/>
      <c r="X229" s="1531"/>
      <c r="Y229" s="1531"/>
      <c r="Z229" s="1531"/>
      <c r="AA229" s="1531"/>
      <c r="AB229" s="1531"/>
      <c r="AC229" s="1531"/>
      <c r="AD229" s="1531"/>
      <c r="AE229" s="1531"/>
      <c r="AF229" s="1531"/>
      <c r="AG229" s="1531"/>
      <c r="AH229" s="1531"/>
      <c r="AI229" s="1531"/>
      <c r="AJ229" s="1531"/>
      <c r="AK229" s="1531"/>
      <c r="AL229" s="1531"/>
      <c r="AM229" s="1531"/>
      <c r="AN229" s="1531"/>
      <c r="AO229" s="1531"/>
      <c r="AP229" s="1531"/>
      <c r="AQ229" s="1531"/>
      <c r="AR229" s="1531"/>
      <c r="AS229" s="1531"/>
      <c r="AT229" s="1531"/>
      <c r="AU229" s="1531"/>
      <c r="AV229" s="1531"/>
      <c r="AW229" s="1531"/>
      <c r="AX229" s="1531"/>
      <c r="AY229" s="1531"/>
      <c r="AZ229" s="1531"/>
    </row>
    <row r="230" spans="3:53" ht="15" customHeight="1">
      <c r="C230" s="1531"/>
      <c r="D230" s="1531"/>
      <c r="E230" s="1531"/>
      <c r="F230" s="1531"/>
      <c r="G230" s="1531"/>
      <c r="H230" s="1531"/>
      <c r="I230" s="1531"/>
      <c r="J230" s="1531"/>
      <c r="K230" s="1531"/>
      <c r="L230" s="1531"/>
      <c r="M230" s="1531"/>
      <c r="N230" s="1531"/>
      <c r="O230" s="1531"/>
      <c r="P230" s="1531"/>
      <c r="Q230" s="1531"/>
      <c r="R230" s="1531"/>
      <c r="S230" s="1531"/>
      <c r="T230" s="1531"/>
      <c r="U230" s="1531"/>
      <c r="V230" s="1531"/>
      <c r="W230" s="1531"/>
      <c r="X230" s="1531"/>
      <c r="Y230" s="1531"/>
      <c r="Z230" s="1531"/>
      <c r="AA230" s="1531"/>
      <c r="AB230" s="1531"/>
      <c r="AC230" s="1531"/>
      <c r="AD230" s="1531"/>
      <c r="AE230" s="1531"/>
      <c r="AF230" s="1531"/>
      <c r="AG230" s="1531"/>
      <c r="AH230" s="1531"/>
      <c r="AI230" s="1531"/>
      <c r="AJ230" s="1531"/>
      <c r="AK230" s="1531"/>
      <c r="AL230" s="1531"/>
      <c r="AM230" s="1531"/>
      <c r="AN230" s="1531"/>
      <c r="AO230" s="1531"/>
      <c r="AP230" s="1531"/>
      <c r="AQ230" s="1531"/>
      <c r="AR230" s="1531"/>
      <c r="AS230" s="1531"/>
      <c r="AT230" s="1531"/>
      <c r="AU230" s="1531"/>
      <c r="AV230" s="1531"/>
      <c r="AW230" s="1531"/>
      <c r="AX230" s="1531"/>
      <c r="AY230" s="1531"/>
      <c r="AZ230" s="1531"/>
    </row>
    <row r="231" spans="3:53" ht="15" customHeight="1">
      <c r="C231" s="1531"/>
      <c r="D231" s="1531"/>
      <c r="E231" s="1531"/>
      <c r="F231" s="1531"/>
      <c r="G231" s="1531"/>
      <c r="H231" s="1531"/>
      <c r="I231" s="1531"/>
      <c r="J231" s="1531"/>
      <c r="K231" s="1531"/>
      <c r="L231" s="1531"/>
      <c r="M231" s="1531"/>
      <c r="N231" s="1531"/>
      <c r="O231" s="1531"/>
      <c r="P231" s="1531"/>
      <c r="Q231" s="1531"/>
      <c r="R231" s="1531"/>
      <c r="S231" s="1531"/>
      <c r="T231" s="1531"/>
      <c r="U231" s="1531"/>
      <c r="V231" s="1531"/>
      <c r="W231" s="1531"/>
      <c r="X231" s="1531"/>
      <c r="Y231" s="1531"/>
      <c r="Z231" s="1531"/>
      <c r="AA231" s="1531"/>
      <c r="AB231" s="1531"/>
      <c r="AC231" s="1531"/>
      <c r="AD231" s="1531"/>
      <c r="AE231" s="1531"/>
      <c r="AF231" s="1531"/>
      <c r="AG231" s="1531"/>
      <c r="AH231" s="1531"/>
      <c r="AI231" s="1531"/>
      <c r="AJ231" s="1531"/>
      <c r="AK231" s="1531"/>
      <c r="AL231" s="1531"/>
      <c r="AM231" s="1531"/>
      <c r="AN231" s="1531"/>
      <c r="AO231" s="1531"/>
      <c r="AP231" s="1531"/>
      <c r="AQ231" s="1531"/>
      <c r="AR231" s="1531"/>
      <c r="AS231" s="1531"/>
      <c r="AT231" s="1531"/>
      <c r="AU231" s="1531"/>
      <c r="AV231" s="1531"/>
      <c r="AW231" s="1531"/>
      <c r="AX231" s="1531"/>
      <c r="AY231" s="1531"/>
      <c r="AZ231" s="1531"/>
    </row>
    <row r="232" spans="3:53" ht="15" customHeight="1">
      <c r="C232" s="1531"/>
      <c r="D232" s="1531"/>
      <c r="E232" s="1531"/>
      <c r="F232" s="1531"/>
      <c r="G232" s="1531"/>
      <c r="H232" s="1531"/>
      <c r="I232" s="1531"/>
      <c r="J232" s="1531"/>
      <c r="K232" s="1531"/>
      <c r="L232" s="1531"/>
      <c r="M232" s="1531"/>
      <c r="N232" s="1531"/>
      <c r="O232" s="1531"/>
      <c r="P232" s="1531"/>
      <c r="Q232" s="1531"/>
      <c r="R232" s="1531"/>
      <c r="S232" s="1531"/>
      <c r="T232" s="1531"/>
      <c r="U232" s="1531"/>
      <c r="V232" s="1531"/>
      <c r="W232" s="1531"/>
      <c r="X232" s="1531"/>
      <c r="Y232" s="1531"/>
      <c r="Z232" s="1531"/>
      <c r="AA232" s="1531"/>
      <c r="AB232" s="1531"/>
      <c r="AC232" s="1531"/>
      <c r="AD232" s="1531"/>
      <c r="AE232" s="1531"/>
      <c r="AF232" s="1531"/>
      <c r="AG232" s="1531"/>
      <c r="AH232" s="1531"/>
      <c r="AI232" s="1531"/>
      <c r="AJ232" s="1531"/>
      <c r="AK232" s="1531"/>
      <c r="AL232" s="1531"/>
      <c r="AM232" s="1531"/>
      <c r="AN232" s="1531"/>
      <c r="AO232" s="1531"/>
      <c r="AP232" s="1531"/>
      <c r="AQ232" s="1531"/>
      <c r="AR232" s="1531"/>
      <c r="AS232" s="1531"/>
      <c r="AT232" s="1531"/>
      <c r="AU232" s="1531"/>
      <c r="AV232" s="1531"/>
      <c r="AW232" s="1531"/>
      <c r="AX232" s="1531"/>
      <c r="AY232" s="1531"/>
      <c r="AZ232" s="1531"/>
    </row>
    <row r="233" spans="3:53" ht="15" customHeight="1">
      <c r="C233" s="1531"/>
      <c r="D233" s="1531"/>
      <c r="E233" s="1531"/>
      <c r="F233" s="1531"/>
      <c r="G233" s="1531"/>
      <c r="H233" s="1531"/>
      <c r="I233" s="1531"/>
      <c r="J233" s="1531"/>
      <c r="K233" s="1531"/>
      <c r="L233" s="1531"/>
      <c r="M233" s="1531"/>
      <c r="N233" s="1531"/>
      <c r="O233" s="1531"/>
      <c r="P233" s="1531"/>
      <c r="Q233" s="1531"/>
      <c r="R233" s="1531"/>
      <c r="S233" s="1531"/>
      <c r="T233" s="1531"/>
      <c r="U233" s="1531"/>
      <c r="V233" s="1531"/>
      <c r="W233" s="1531"/>
      <c r="X233" s="1531"/>
      <c r="Y233" s="1531"/>
      <c r="Z233" s="1531"/>
      <c r="AA233" s="1531"/>
      <c r="AB233" s="1531"/>
      <c r="AC233" s="1531"/>
      <c r="AD233" s="1531"/>
      <c r="AE233" s="1531"/>
      <c r="AF233" s="1531"/>
      <c r="AG233" s="1531"/>
      <c r="AH233" s="1531"/>
      <c r="AI233" s="1531"/>
      <c r="AJ233" s="1531"/>
      <c r="AK233" s="1531"/>
      <c r="AL233" s="1531"/>
      <c r="AM233" s="1531"/>
      <c r="AN233" s="1531"/>
      <c r="AO233" s="1531"/>
      <c r="AP233" s="1531"/>
      <c r="AQ233" s="1531"/>
      <c r="AR233" s="1531"/>
      <c r="AS233" s="1531"/>
      <c r="AT233" s="1531"/>
      <c r="AU233" s="1531"/>
      <c r="AV233" s="1531"/>
      <c r="AW233" s="1531"/>
      <c r="AX233" s="1531"/>
      <c r="AY233" s="1531"/>
      <c r="AZ233" s="1531"/>
    </row>
    <row r="234" spans="3:53" ht="15" customHeight="1">
      <c r="C234" s="1531"/>
      <c r="D234" s="1531"/>
      <c r="E234" s="1531"/>
      <c r="F234" s="1531"/>
      <c r="G234" s="1531"/>
      <c r="H234" s="1531"/>
      <c r="I234" s="1531"/>
      <c r="J234" s="1531"/>
      <c r="K234" s="1531"/>
      <c r="L234" s="1531"/>
      <c r="M234" s="1531"/>
      <c r="N234" s="1531"/>
      <c r="O234" s="1531"/>
      <c r="P234" s="1531"/>
      <c r="Q234" s="1531"/>
      <c r="R234" s="1531"/>
      <c r="S234" s="1531"/>
      <c r="T234" s="1531"/>
      <c r="U234" s="1531"/>
      <c r="V234" s="1531"/>
      <c r="W234" s="1531"/>
      <c r="X234" s="1531"/>
      <c r="Y234" s="1531"/>
      <c r="Z234" s="1531"/>
      <c r="AA234" s="1531"/>
      <c r="AB234" s="1531"/>
      <c r="AC234" s="1531"/>
      <c r="AD234" s="1531"/>
      <c r="AE234" s="1531"/>
      <c r="AF234" s="1531"/>
      <c r="AG234" s="1531"/>
      <c r="AH234" s="1531"/>
      <c r="AI234" s="1531"/>
      <c r="AJ234" s="1531"/>
      <c r="AK234" s="1531"/>
      <c r="AL234" s="1531"/>
      <c r="AM234" s="1531"/>
      <c r="AN234" s="1531"/>
      <c r="AO234" s="1531"/>
      <c r="AP234" s="1531"/>
      <c r="AQ234" s="1531"/>
      <c r="AR234" s="1531"/>
      <c r="AS234" s="1531"/>
      <c r="AT234" s="1531"/>
      <c r="AU234" s="1531"/>
      <c r="AV234" s="1531"/>
      <c r="AW234" s="1531"/>
      <c r="AX234" s="1531"/>
      <c r="AY234" s="1531"/>
      <c r="AZ234" s="1531"/>
    </row>
    <row r="235" spans="3:53" ht="15" customHeight="1">
      <c r="C235" s="1531"/>
      <c r="D235" s="1531"/>
      <c r="E235" s="1531"/>
      <c r="F235" s="1531"/>
      <c r="G235" s="1531"/>
      <c r="H235" s="1531"/>
      <c r="I235" s="1531"/>
      <c r="J235" s="1531"/>
      <c r="K235" s="1531"/>
      <c r="L235" s="1531"/>
      <c r="M235" s="1531"/>
      <c r="N235" s="1531"/>
      <c r="O235" s="1531"/>
      <c r="P235" s="1531"/>
      <c r="Q235" s="1531"/>
      <c r="R235" s="1531"/>
      <c r="S235" s="1531"/>
      <c r="T235" s="1531"/>
      <c r="U235" s="1531"/>
      <c r="V235" s="1531"/>
      <c r="W235" s="1531"/>
      <c r="X235" s="1531"/>
      <c r="Y235" s="1531"/>
      <c r="Z235" s="1531"/>
      <c r="AA235" s="1531"/>
      <c r="AB235" s="1531"/>
      <c r="AC235" s="1531"/>
      <c r="AD235" s="1531"/>
      <c r="AE235" s="1531"/>
      <c r="AF235" s="1531"/>
      <c r="AG235" s="1531"/>
      <c r="AH235" s="1531"/>
      <c r="AI235" s="1531"/>
      <c r="AJ235" s="1531"/>
      <c r="AK235" s="1531"/>
      <c r="AL235" s="1531"/>
      <c r="AM235" s="1531"/>
      <c r="AN235" s="1531"/>
      <c r="AO235" s="1531"/>
      <c r="AP235" s="1531"/>
      <c r="AQ235" s="1531"/>
      <c r="AR235" s="1531"/>
      <c r="AS235" s="1531"/>
      <c r="AT235" s="1531"/>
      <c r="AU235" s="1531"/>
      <c r="AV235" s="1531"/>
      <c r="AW235" s="1531"/>
      <c r="AX235" s="1531"/>
      <c r="AY235" s="1531"/>
      <c r="AZ235" s="1531"/>
    </row>
    <row r="236" spans="3:53" ht="15" customHeight="1">
      <c r="C236" s="1531"/>
      <c r="D236" s="1531"/>
      <c r="E236" s="1531"/>
      <c r="F236" s="1531"/>
      <c r="G236" s="1531"/>
      <c r="H236" s="1531"/>
      <c r="I236" s="1531"/>
      <c r="J236" s="1531"/>
      <c r="K236" s="1531"/>
      <c r="L236" s="1531"/>
      <c r="M236" s="1531"/>
      <c r="N236" s="1531"/>
      <c r="O236" s="1531"/>
      <c r="P236" s="1531"/>
      <c r="Q236" s="1531"/>
      <c r="R236" s="1531"/>
      <c r="S236" s="1531"/>
      <c r="T236" s="1531"/>
      <c r="U236" s="1531"/>
      <c r="V236" s="1531"/>
      <c r="W236" s="1531"/>
      <c r="X236" s="1531"/>
      <c r="Y236" s="1531"/>
      <c r="Z236" s="1531"/>
      <c r="AA236" s="1531"/>
      <c r="AB236" s="1531"/>
      <c r="AC236" s="1531"/>
      <c r="AD236" s="1531"/>
      <c r="AE236" s="1531"/>
      <c r="AF236" s="1531"/>
      <c r="AG236" s="1531"/>
      <c r="AH236" s="1531"/>
      <c r="AI236" s="1531"/>
      <c r="AJ236" s="1531"/>
      <c r="AK236" s="1531"/>
      <c r="AL236" s="1531"/>
      <c r="AM236" s="1531"/>
      <c r="AN236" s="1531"/>
      <c r="AO236" s="1531"/>
      <c r="AP236" s="1531"/>
      <c r="AQ236" s="1531"/>
      <c r="AR236" s="1531"/>
      <c r="AS236" s="1531"/>
      <c r="AT236" s="1531"/>
      <c r="AU236" s="1531"/>
      <c r="AV236" s="1531"/>
      <c r="AW236" s="1531"/>
      <c r="AX236" s="1531"/>
      <c r="AY236" s="1531"/>
      <c r="AZ236" s="1531"/>
    </row>
    <row r="237" spans="3:53" ht="15" customHeight="1">
      <c r="C237" s="1517" t="s">
        <v>1303</v>
      </c>
      <c r="D237" s="1517"/>
      <c r="E237" s="1517"/>
      <c r="F237" s="1517"/>
      <c r="G237" s="1517"/>
      <c r="H237" s="1517"/>
      <c r="I237" s="1517"/>
      <c r="J237" s="1517"/>
      <c r="K237" s="1517"/>
      <c r="L237" s="1517"/>
      <c r="M237" s="1517"/>
      <c r="N237" s="1517"/>
      <c r="O237" s="1517"/>
      <c r="P237" s="1517"/>
      <c r="Q237" s="1517"/>
      <c r="R237" s="1517"/>
      <c r="S237" s="1517"/>
      <c r="T237" s="1517"/>
      <c r="U237" s="1517"/>
      <c r="V237" s="1517"/>
      <c r="W237" s="1517"/>
      <c r="X237" s="1517"/>
      <c r="Y237" s="1517"/>
      <c r="Z237" s="1517"/>
      <c r="AA237" s="1517"/>
      <c r="AB237" s="1517"/>
      <c r="AC237" s="1517"/>
      <c r="AD237" s="1517"/>
      <c r="AE237" s="1517"/>
      <c r="AF237" s="1517"/>
      <c r="AG237" s="1517"/>
      <c r="AH237" s="1517"/>
      <c r="AI237" s="1517"/>
      <c r="AJ237" s="1517"/>
      <c r="AK237" s="1517"/>
      <c r="AL237" s="1517"/>
      <c r="AM237" s="1517"/>
      <c r="AN237" s="1517"/>
      <c r="AO237" s="1517"/>
      <c r="AP237" s="1517"/>
      <c r="AQ237" s="1517"/>
      <c r="AR237" s="1517"/>
      <c r="AS237" s="1517"/>
      <c r="AT237" s="1517"/>
      <c r="AU237" s="1517"/>
      <c r="AV237" s="1517"/>
      <c r="AW237" s="1517"/>
      <c r="AX237" s="1517"/>
      <c r="AY237" s="1517"/>
      <c r="AZ237" s="1517"/>
    </row>
    <row r="238" spans="3:53" ht="15" customHeight="1">
      <c r="C238" s="1517"/>
      <c r="D238" s="1517"/>
      <c r="E238" s="1517"/>
      <c r="F238" s="1517"/>
      <c r="G238" s="1517"/>
      <c r="H238" s="1517"/>
      <c r="I238" s="1517"/>
      <c r="J238" s="1517"/>
      <c r="K238" s="1517"/>
      <c r="L238" s="1517"/>
      <c r="M238" s="1517"/>
      <c r="N238" s="1517"/>
      <c r="O238" s="1517"/>
      <c r="P238" s="1517"/>
      <c r="Q238" s="1517"/>
      <c r="R238" s="1517"/>
      <c r="S238" s="1517"/>
      <c r="T238" s="1517"/>
      <c r="U238" s="1517"/>
      <c r="V238" s="1517"/>
      <c r="W238" s="1517"/>
      <c r="X238" s="1517"/>
      <c r="Y238" s="1517"/>
      <c r="Z238" s="1517"/>
      <c r="AA238" s="1517"/>
      <c r="AB238" s="1517"/>
      <c r="AC238" s="1517"/>
      <c r="AD238" s="1517"/>
      <c r="AE238" s="1517"/>
      <c r="AF238" s="1517"/>
      <c r="AG238" s="1517"/>
      <c r="AH238" s="1517"/>
      <c r="AI238" s="1517"/>
      <c r="AJ238" s="1517"/>
      <c r="AK238" s="1517"/>
      <c r="AL238" s="1517"/>
      <c r="AM238" s="1517"/>
      <c r="AN238" s="1517"/>
      <c r="AO238" s="1517"/>
      <c r="AP238" s="1517"/>
      <c r="AQ238" s="1517"/>
      <c r="AR238" s="1517"/>
      <c r="AS238" s="1517"/>
      <c r="AT238" s="1517"/>
      <c r="AU238" s="1517"/>
      <c r="AV238" s="1517"/>
      <c r="AW238" s="1517"/>
      <c r="AX238" s="1517"/>
      <c r="AY238" s="1517"/>
      <c r="AZ238" s="1517"/>
    </row>
    <row r="239" spans="3:53" ht="6" customHeight="1">
      <c r="C239" s="1244"/>
    </row>
    <row r="240" spans="3:53" ht="15" customHeight="1">
      <c r="C240" s="1518" t="s">
        <v>1304</v>
      </c>
      <c r="D240" s="1518"/>
      <c r="E240" s="1518"/>
      <c r="F240" s="1518"/>
      <c r="G240" s="1518"/>
      <c r="H240" s="1518"/>
      <c r="I240" s="1518"/>
      <c r="J240" s="1518"/>
      <c r="K240" s="1518"/>
      <c r="L240" s="1518"/>
      <c r="M240" s="1518"/>
      <c r="N240" s="1518"/>
      <c r="O240" s="1518"/>
      <c r="P240" s="1518"/>
      <c r="Q240" s="1518"/>
      <c r="R240" s="1518"/>
      <c r="S240" s="1518"/>
      <c r="T240" s="1518"/>
      <c r="U240" s="1518"/>
      <c r="V240" s="1518"/>
      <c r="W240" s="1518"/>
      <c r="X240" s="1518"/>
      <c r="Y240" s="1518"/>
      <c r="Z240" s="1518"/>
      <c r="AA240" s="1518"/>
      <c r="AB240" s="1518"/>
      <c r="AC240" s="1518"/>
      <c r="AD240" s="1518"/>
      <c r="AE240" s="1518"/>
      <c r="AF240" s="1518"/>
      <c r="AG240" s="1518"/>
      <c r="AH240" s="1518"/>
      <c r="AI240" s="1518"/>
      <c r="AJ240" s="1518"/>
      <c r="AK240" s="1518"/>
      <c r="AL240" s="1518"/>
      <c r="AM240" s="1518"/>
      <c r="AN240" s="1518"/>
      <c r="AO240" s="1518"/>
      <c r="AP240" s="1518"/>
      <c r="AQ240" s="1518"/>
      <c r="AR240" s="1518"/>
      <c r="AS240" s="1518"/>
      <c r="AT240" s="1518"/>
      <c r="AU240" s="1518"/>
      <c r="AV240" s="1518"/>
      <c r="AW240" s="1518"/>
      <c r="AX240" s="1518"/>
      <c r="AY240" s="1518"/>
      <c r="AZ240" s="1518"/>
      <c r="BA240" s="1244"/>
    </row>
    <row r="241" spans="3:52" ht="15" customHeight="1">
      <c r="C241" s="1518"/>
      <c r="D241" s="1518"/>
      <c r="E241" s="1518"/>
      <c r="F241" s="1518"/>
      <c r="G241" s="1518"/>
      <c r="H241" s="1518"/>
      <c r="I241" s="1518"/>
      <c r="J241" s="1518"/>
      <c r="K241" s="1518"/>
      <c r="L241" s="1518"/>
      <c r="M241" s="1518"/>
      <c r="N241" s="1518"/>
      <c r="O241" s="1518"/>
      <c r="P241" s="1518"/>
      <c r="Q241" s="1518"/>
      <c r="R241" s="1518"/>
      <c r="S241" s="1518"/>
      <c r="T241" s="1518"/>
      <c r="U241" s="1518"/>
      <c r="V241" s="1518"/>
      <c r="W241" s="1518"/>
      <c r="X241" s="1518"/>
      <c r="Y241" s="1518"/>
      <c r="Z241" s="1518"/>
      <c r="AA241" s="1518"/>
      <c r="AB241" s="1518"/>
      <c r="AC241" s="1518"/>
      <c r="AD241" s="1518"/>
      <c r="AE241" s="1518"/>
      <c r="AF241" s="1518"/>
      <c r="AG241" s="1518"/>
      <c r="AH241" s="1518"/>
      <c r="AI241" s="1518"/>
      <c r="AJ241" s="1518"/>
      <c r="AK241" s="1518"/>
      <c r="AL241" s="1518"/>
      <c r="AM241" s="1518"/>
      <c r="AN241" s="1518"/>
      <c r="AO241" s="1518"/>
      <c r="AP241" s="1518"/>
      <c r="AQ241" s="1518"/>
      <c r="AR241" s="1518"/>
      <c r="AS241" s="1518"/>
      <c r="AT241" s="1518"/>
      <c r="AU241" s="1518"/>
      <c r="AV241" s="1518"/>
      <c r="AW241" s="1518"/>
      <c r="AX241" s="1518"/>
      <c r="AY241" s="1518"/>
      <c r="AZ241" s="1518"/>
    </row>
    <row r="242" spans="3:52" ht="15" customHeight="1">
      <c r="C242" s="1518" t="s">
        <v>1302</v>
      </c>
      <c r="D242" s="1518"/>
      <c r="E242" s="1518"/>
      <c r="F242" s="1518"/>
      <c r="G242" s="1518"/>
      <c r="H242" s="1518"/>
      <c r="I242" s="1518"/>
      <c r="J242" s="1518"/>
      <c r="K242" s="1518"/>
      <c r="L242" s="1518"/>
      <c r="M242" s="1518"/>
      <c r="N242" s="1518"/>
      <c r="O242" s="1518"/>
      <c r="P242" s="1518"/>
      <c r="Q242" s="1518"/>
      <c r="R242" s="1518"/>
      <c r="S242" s="1518"/>
      <c r="T242" s="1518"/>
      <c r="U242" s="1518"/>
      <c r="V242" s="1518"/>
      <c r="W242" s="1518"/>
      <c r="X242" s="1518"/>
      <c r="Y242" s="1518"/>
      <c r="Z242" s="1518"/>
      <c r="AA242" s="1518"/>
      <c r="AB242" s="1518"/>
      <c r="AC242" s="1518"/>
      <c r="AD242" s="1518"/>
      <c r="AE242" s="1518"/>
      <c r="AF242" s="1518"/>
      <c r="AG242" s="1518"/>
      <c r="AH242" s="1518"/>
      <c r="AI242" s="1518"/>
      <c r="AJ242" s="1518"/>
      <c r="AK242" s="1518"/>
      <c r="AL242" s="1518"/>
      <c r="AM242" s="1518"/>
      <c r="AN242" s="1518"/>
      <c r="AO242" s="1518"/>
      <c r="AP242" s="1518"/>
      <c r="AQ242" s="1518"/>
      <c r="AR242" s="1518"/>
      <c r="AS242" s="1518"/>
      <c r="AT242" s="1518"/>
      <c r="AU242" s="1518"/>
      <c r="AV242" s="1518"/>
      <c r="AW242" s="1518"/>
      <c r="AX242" s="1518"/>
      <c r="AY242" s="1518"/>
      <c r="AZ242" s="1518"/>
    </row>
    <row r="243" spans="3:52" ht="15" customHeight="1">
      <c r="C243" s="1518"/>
      <c r="D243" s="1518"/>
      <c r="E243" s="1518"/>
      <c r="F243" s="1518"/>
      <c r="G243" s="1518"/>
      <c r="H243" s="1518"/>
      <c r="I243" s="1518"/>
      <c r="J243" s="1518"/>
      <c r="K243" s="1518"/>
      <c r="L243" s="1518"/>
      <c r="M243" s="1518"/>
      <c r="N243" s="1518"/>
      <c r="O243" s="1518"/>
      <c r="P243" s="1518"/>
      <c r="Q243" s="1518"/>
      <c r="R243" s="1518"/>
      <c r="S243" s="1518"/>
      <c r="T243" s="1518"/>
      <c r="U243" s="1518"/>
      <c r="V243" s="1518"/>
      <c r="W243" s="1518"/>
      <c r="X243" s="1518"/>
      <c r="Y243" s="1518"/>
      <c r="Z243" s="1518"/>
      <c r="AA243" s="1518"/>
      <c r="AB243" s="1518"/>
      <c r="AC243" s="1518"/>
      <c r="AD243" s="1518"/>
      <c r="AE243" s="1518"/>
      <c r="AF243" s="1518"/>
      <c r="AG243" s="1518"/>
      <c r="AH243" s="1518"/>
      <c r="AI243" s="1518"/>
      <c r="AJ243" s="1518"/>
      <c r="AK243" s="1518"/>
      <c r="AL243" s="1518"/>
      <c r="AM243" s="1518"/>
      <c r="AN243" s="1518"/>
      <c r="AO243" s="1518"/>
      <c r="AP243" s="1518"/>
      <c r="AQ243" s="1518"/>
      <c r="AR243" s="1518"/>
      <c r="AS243" s="1518"/>
      <c r="AT243" s="1518"/>
      <c r="AU243" s="1518"/>
      <c r="AV243" s="1518"/>
      <c r="AW243" s="1518"/>
      <c r="AX243" s="1518"/>
      <c r="AY243" s="1518"/>
      <c r="AZ243" s="1518"/>
    </row>
    <row r="244" spans="3:52" ht="15" customHeight="1">
      <c r="C244" s="1518"/>
      <c r="D244" s="1518"/>
      <c r="E244" s="1518"/>
      <c r="F244" s="1518"/>
      <c r="G244" s="1518"/>
      <c r="H244" s="1518"/>
      <c r="I244" s="1518"/>
      <c r="J244" s="1518"/>
      <c r="K244" s="1518"/>
      <c r="L244" s="1518"/>
      <c r="M244" s="1518"/>
      <c r="N244" s="1518"/>
      <c r="O244" s="1518"/>
      <c r="P244" s="1518"/>
      <c r="Q244" s="1518"/>
      <c r="R244" s="1518"/>
      <c r="S244" s="1518"/>
      <c r="T244" s="1518"/>
      <c r="U244" s="1518"/>
      <c r="V244" s="1518"/>
      <c r="W244" s="1518"/>
      <c r="X244" s="1518"/>
      <c r="Y244" s="1518"/>
      <c r="Z244" s="1518"/>
      <c r="AA244" s="1518"/>
      <c r="AB244" s="1518"/>
      <c r="AC244" s="1518"/>
      <c r="AD244" s="1518"/>
      <c r="AE244" s="1518"/>
      <c r="AF244" s="1518"/>
      <c r="AG244" s="1518"/>
      <c r="AH244" s="1518"/>
      <c r="AI244" s="1518"/>
      <c r="AJ244" s="1518"/>
      <c r="AK244" s="1518"/>
      <c r="AL244" s="1518"/>
      <c r="AM244" s="1518"/>
      <c r="AN244" s="1518"/>
      <c r="AO244" s="1518"/>
      <c r="AP244" s="1518"/>
      <c r="AQ244" s="1518"/>
      <c r="AR244" s="1518"/>
      <c r="AS244" s="1518"/>
      <c r="AT244" s="1518"/>
      <c r="AU244" s="1518"/>
      <c r="AV244" s="1518"/>
      <c r="AW244" s="1518"/>
      <c r="AX244" s="1518"/>
      <c r="AY244" s="1518"/>
      <c r="AZ244" s="1518"/>
    </row>
    <row r="245" spans="3:52" ht="15" customHeight="1">
      <c r="C245" s="1186"/>
      <c r="D245" s="1186"/>
      <c r="E245" s="1186"/>
      <c r="F245" s="1186"/>
      <c r="G245" s="1186"/>
      <c r="H245" s="1186"/>
      <c r="I245" s="1186"/>
      <c r="J245" s="1186"/>
      <c r="K245" s="1186"/>
      <c r="L245" s="1186"/>
      <c r="M245" s="1186"/>
      <c r="N245" s="1186"/>
      <c r="O245" s="1186"/>
      <c r="P245" s="1186"/>
      <c r="Q245" s="1186"/>
      <c r="R245" s="1186"/>
      <c r="S245" s="1186"/>
      <c r="T245" s="1186"/>
      <c r="U245" s="1186"/>
      <c r="V245" s="1186"/>
      <c r="W245" s="1186"/>
      <c r="X245" s="1186"/>
      <c r="Y245" s="1186"/>
      <c r="Z245" s="1186"/>
      <c r="AA245" s="1186"/>
      <c r="AB245" s="1186"/>
      <c r="AC245" s="1186"/>
      <c r="AD245" s="1186"/>
      <c r="AE245" s="1186"/>
      <c r="AF245" s="1186"/>
      <c r="AG245" s="1186"/>
      <c r="AH245" s="1186"/>
      <c r="AI245" s="1186"/>
      <c r="AJ245" s="1186"/>
      <c r="AK245" s="1186"/>
      <c r="AL245" s="1186"/>
      <c r="AM245" s="1186"/>
      <c r="AN245" s="1186"/>
      <c r="AO245" s="1186"/>
      <c r="AP245" s="1186"/>
      <c r="AQ245" s="1186"/>
      <c r="AR245" s="1186"/>
      <c r="AS245" s="1186"/>
      <c r="AT245" s="1186"/>
      <c r="AU245" s="1186"/>
      <c r="AV245" s="1186"/>
      <c r="AW245" s="1186"/>
      <c r="AX245" s="1186"/>
      <c r="AY245" s="1186"/>
      <c r="AZ245" s="1186"/>
    </row>
    <row r="246" spans="3:52" ht="15" customHeight="1">
      <c r="C246" s="1532" t="s">
        <v>1301</v>
      </c>
      <c r="D246" s="1532"/>
      <c r="E246" s="1532"/>
      <c r="F246" s="1532"/>
      <c r="G246" s="1532"/>
      <c r="H246" s="1532"/>
      <c r="I246" s="1532"/>
      <c r="J246" s="1532"/>
      <c r="K246" s="1532"/>
      <c r="L246" s="1532"/>
      <c r="M246" s="1532"/>
      <c r="N246" s="1532"/>
      <c r="O246" s="1532"/>
      <c r="P246" s="1532"/>
      <c r="Q246" s="1532"/>
      <c r="R246" s="1532"/>
      <c r="S246" s="1532"/>
      <c r="T246" s="1532"/>
      <c r="U246" s="1532"/>
      <c r="V246" s="1532"/>
      <c r="W246" s="1532"/>
      <c r="X246" s="1532"/>
      <c r="Y246" s="1532"/>
      <c r="Z246" s="1532"/>
      <c r="AA246" s="1532"/>
      <c r="AB246" s="1532"/>
      <c r="AC246" s="1532"/>
      <c r="AD246" s="1532"/>
      <c r="AE246" s="1532"/>
      <c r="AF246" s="1532"/>
      <c r="AG246" s="1532"/>
      <c r="AH246" s="1532"/>
      <c r="AI246" s="1532"/>
      <c r="AJ246" s="1532"/>
      <c r="AK246" s="1532"/>
      <c r="AL246" s="1532"/>
      <c r="AM246" s="1532"/>
      <c r="AN246" s="1532"/>
      <c r="AO246" s="1532"/>
      <c r="AP246" s="1532"/>
      <c r="AQ246" s="1532"/>
      <c r="AR246" s="1532"/>
      <c r="AS246" s="1532"/>
      <c r="AT246" s="1532"/>
      <c r="AU246" s="1532"/>
      <c r="AV246" s="1532"/>
      <c r="AW246" s="1532"/>
      <c r="AX246" s="1532"/>
      <c r="AY246" s="1532"/>
      <c r="AZ246" s="1532"/>
    </row>
    <row r="247" spans="3:52" ht="15" customHeight="1">
      <c r="C247" s="1532"/>
      <c r="D247" s="1532"/>
      <c r="E247" s="1532"/>
      <c r="F247" s="1532"/>
      <c r="G247" s="1532"/>
      <c r="H247" s="1532"/>
      <c r="I247" s="1532"/>
      <c r="J247" s="1532"/>
      <c r="K247" s="1532"/>
      <c r="L247" s="1532"/>
      <c r="M247" s="1532"/>
      <c r="N247" s="1532"/>
      <c r="O247" s="1532"/>
      <c r="P247" s="1532"/>
      <c r="Q247" s="1532"/>
      <c r="R247" s="1532"/>
      <c r="S247" s="1532"/>
      <c r="T247" s="1532"/>
      <c r="U247" s="1532"/>
      <c r="V247" s="1532"/>
      <c r="W247" s="1532"/>
      <c r="X247" s="1532"/>
      <c r="Y247" s="1532"/>
      <c r="Z247" s="1532"/>
      <c r="AA247" s="1532"/>
      <c r="AB247" s="1532"/>
      <c r="AC247" s="1532"/>
      <c r="AD247" s="1532"/>
      <c r="AE247" s="1532"/>
      <c r="AF247" s="1532"/>
      <c r="AG247" s="1532"/>
      <c r="AH247" s="1532"/>
      <c r="AI247" s="1532"/>
      <c r="AJ247" s="1532"/>
      <c r="AK247" s="1532"/>
      <c r="AL247" s="1532"/>
      <c r="AM247" s="1532"/>
      <c r="AN247" s="1532"/>
      <c r="AO247" s="1532"/>
      <c r="AP247" s="1532"/>
      <c r="AQ247" s="1532"/>
      <c r="AR247" s="1532"/>
      <c r="AS247" s="1532"/>
      <c r="AT247" s="1532"/>
      <c r="AU247" s="1532"/>
      <c r="AV247" s="1532"/>
      <c r="AW247" s="1532"/>
      <c r="AX247" s="1532"/>
      <c r="AY247" s="1532"/>
      <c r="AZ247" s="1532"/>
    </row>
    <row r="248" spans="3:52" ht="15" customHeight="1">
      <c r="C248" s="1532"/>
      <c r="D248" s="1532"/>
      <c r="E248" s="1532"/>
      <c r="F248" s="1532"/>
      <c r="G248" s="1532"/>
      <c r="H248" s="1532"/>
      <c r="I248" s="1532"/>
      <c r="J248" s="1532"/>
      <c r="K248" s="1532"/>
      <c r="L248" s="1532"/>
      <c r="M248" s="1532"/>
      <c r="N248" s="1532"/>
      <c r="O248" s="1532"/>
      <c r="P248" s="1532"/>
      <c r="Q248" s="1532"/>
      <c r="R248" s="1532"/>
      <c r="S248" s="1532"/>
      <c r="T248" s="1532"/>
      <c r="U248" s="1532"/>
      <c r="V248" s="1532"/>
      <c r="W248" s="1532"/>
      <c r="X248" s="1532"/>
      <c r="Y248" s="1532"/>
      <c r="Z248" s="1532"/>
      <c r="AA248" s="1532"/>
      <c r="AB248" s="1532"/>
      <c r="AC248" s="1532"/>
      <c r="AD248" s="1532"/>
      <c r="AE248" s="1532"/>
      <c r="AF248" s="1532"/>
      <c r="AG248" s="1532"/>
      <c r="AH248" s="1532"/>
      <c r="AI248" s="1532"/>
      <c r="AJ248" s="1532"/>
      <c r="AK248" s="1532"/>
      <c r="AL248" s="1532"/>
      <c r="AM248" s="1532"/>
      <c r="AN248" s="1532"/>
      <c r="AO248" s="1532"/>
      <c r="AP248" s="1532"/>
      <c r="AQ248" s="1532"/>
      <c r="AR248" s="1532"/>
      <c r="AS248" s="1532"/>
      <c r="AT248" s="1532"/>
      <c r="AU248" s="1532"/>
      <c r="AV248" s="1532"/>
      <c r="AW248" s="1532"/>
      <c r="AX248" s="1532"/>
      <c r="AY248" s="1532"/>
      <c r="AZ248" s="1532"/>
    </row>
    <row r="249" spans="3:52" ht="8.25" customHeight="1">
      <c r="C249" s="1532"/>
      <c r="D249" s="1532"/>
      <c r="E249" s="1532"/>
      <c r="F249" s="1532"/>
      <c r="G249" s="1532"/>
      <c r="H249" s="1532"/>
      <c r="I249" s="1532"/>
      <c r="J249" s="1532"/>
      <c r="K249" s="1532"/>
      <c r="L249" s="1532"/>
      <c r="M249" s="1532"/>
      <c r="N249" s="1532"/>
      <c r="O249" s="1532"/>
      <c r="P249" s="1532"/>
      <c r="Q249" s="1532"/>
      <c r="R249" s="1532"/>
      <c r="S249" s="1532"/>
      <c r="T249" s="1532"/>
      <c r="U249" s="1532"/>
      <c r="V249" s="1532"/>
      <c r="W249" s="1532"/>
      <c r="X249" s="1532"/>
      <c r="Y249" s="1532"/>
      <c r="Z249" s="1532"/>
      <c r="AA249" s="1532"/>
      <c r="AB249" s="1532"/>
      <c r="AC249" s="1532"/>
      <c r="AD249" s="1532"/>
      <c r="AE249" s="1532"/>
      <c r="AF249" s="1532"/>
      <c r="AG249" s="1532"/>
      <c r="AH249" s="1532"/>
      <c r="AI249" s="1532"/>
      <c r="AJ249" s="1532"/>
      <c r="AK249" s="1532"/>
      <c r="AL249" s="1532"/>
      <c r="AM249" s="1532"/>
      <c r="AN249" s="1532"/>
      <c r="AO249" s="1532"/>
      <c r="AP249" s="1532"/>
      <c r="AQ249" s="1532"/>
      <c r="AR249" s="1532"/>
      <c r="AS249" s="1532"/>
      <c r="AT249" s="1532"/>
      <c r="AU249" s="1532"/>
      <c r="AV249" s="1532"/>
      <c r="AW249" s="1532"/>
      <c r="AX249" s="1532"/>
      <c r="AY249" s="1532"/>
      <c r="AZ249" s="1532"/>
    </row>
    <row r="250" spans="3:52" ht="15" customHeight="1">
      <c r="C250" s="1501" t="str">
        <f>""&amp;IF(Settings!L88="No",'Age Pension additional calcs'!AY24,'Age Pension additional calcs'!AY25)&amp;". Projections are illustrative only. It is probable that actual future tax rates and thresholds will differ from the rates the Calculator uses today."</f>
        <v>Tax has been calculated based on current tax rates and law and where relevant include the Medicare Levy, Low income tax offset (LITO) and the seniors and pensioners tax offset (SAPTO). Thresholds have been indexed by 2.5% p.a. as a proxy for the thresholds that will be applicable in 15 years time. Projections are illustrative only. It is probable that actual future tax rates and thresholds will differ from the rates the Calculator uses today.</v>
      </c>
      <c r="D250" s="1501"/>
      <c r="E250" s="1501"/>
      <c r="F250" s="1501"/>
      <c r="G250" s="1501"/>
      <c r="H250" s="1501"/>
      <c r="I250" s="1501"/>
      <c r="J250" s="1501"/>
      <c r="K250" s="1501"/>
      <c r="L250" s="1501"/>
      <c r="M250" s="1501"/>
      <c r="N250" s="1501"/>
      <c r="O250" s="1501"/>
      <c r="P250" s="1501"/>
      <c r="Q250" s="1501"/>
      <c r="R250" s="1501"/>
      <c r="S250" s="1501"/>
      <c r="T250" s="1501"/>
      <c r="U250" s="1501"/>
      <c r="V250" s="1501"/>
      <c r="W250" s="1501"/>
      <c r="X250" s="1501"/>
      <c r="Y250" s="1501"/>
      <c r="Z250" s="1501"/>
      <c r="AA250" s="1501"/>
      <c r="AB250" s="1501"/>
      <c r="AC250" s="1501"/>
      <c r="AD250" s="1501"/>
      <c r="AE250" s="1501"/>
      <c r="AF250" s="1501"/>
      <c r="AG250" s="1501"/>
      <c r="AH250" s="1501"/>
      <c r="AI250" s="1501"/>
      <c r="AJ250" s="1501"/>
      <c r="AK250" s="1501"/>
      <c r="AL250" s="1501"/>
      <c r="AM250" s="1501"/>
      <c r="AN250" s="1501"/>
      <c r="AO250" s="1501"/>
      <c r="AP250" s="1501"/>
      <c r="AQ250" s="1501"/>
      <c r="AR250" s="1501"/>
      <c r="AS250" s="1501"/>
      <c r="AT250" s="1501"/>
      <c r="AU250" s="1501"/>
      <c r="AV250" s="1501"/>
      <c r="AW250" s="1501"/>
      <c r="AX250" s="1501"/>
      <c r="AY250" s="1501"/>
      <c r="AZ250" s="1501"/>
    </row>
    <row r="251" spans="3:52" ht="15" customHeight="1">
      <c r="C251" s="1501"/>
      <c r="D251" s="1501"/>
      <c r="E251" s="1501"/>
      <c r="F251" s="1501"/>
      <c r="G251" s="1501"/>
      <c r="H251" s="1501"/>
      <c r="I251" s="1501"/>
      <c r="J251" s="1501"/>
      <c r="K251" s="1501"/>
      <c r="L251" s="1501"/>
      <c r="M251" s="1501"/>
      <c r="N251" s="1501"/>
      <c r="O251" s="1501"/>
      <c r="P251" s="1501"/>
      <c r="Q251" s="1501"/>
      <c r="R251" s="1501"/>
      <c r="S251" s="1501"/>
      <c r="T251" s="1501"/>
      <c r="U251" s="1501"/>
      <c r="V251" s="1501"/>
      <c r="W251" s="1501"/>
      <c r="X251" s="1501"/>
      <c r="Y251" s="1501"/>
      <c r="Z251" s="1501"/>
      <c r="AA251" s="1501"/>
      <c r="AB251" s="1501"/>
      <c r="AC251" s="1501"/>
      <c r="AD251" s="1501"/>
      <c r="AE251" s="1501"/>
      <c r="AF251" s="1501"/>
      <c r="AG251" s="1501"/>
      <c r="AH251" s="1501"/>
      <c r="AI251" s="1501"/>
      <c r="AJ251" s="1501"/>
      <c r="AK251" s="1501"/>
      <c r="AL251" s="1501"/>
      <c r="AM251" s="1501"/>
      <c r="AN251" s="1501"/>
      <c r="AO251" s="1501"/>
      <c r="AP251" s="1501"/>
      <c r="AQ251" s="1501"/>
      <c r="AR251" s="1501"/>
      <c r="AS251" s="1501"/>
      <c r="AT251" s="1501"/>
      <c r="AU251" s="1501"/>
      <c r="AV251" s="1501"/>
      <c r="AW251" s="1501"/>
      <c r="AX251" s="1501"/>
      <c r="AY251" s="1501"/>
      <c r="AZ251" s="1501"/>
    </row>
    <row r="252" spans="3:52" ht="15" customHeight="1">
      <c r="C252" s="1501"/>
      <c r="D252" s="1501"/>
      <c r="E252" s="1501"/>
      <c r="F252" s="1501"/>
      <c r="G252" s="1501"/>
      <c r="H252" s="1501"/>
      <c r="I252" s="1501"/>
      <c r="J252" s="1501"/>
      <c r="K252" s="1501"/>
      <c r="L252" s="1501"/>
      <c r="M252" s="1501"/>
      <c r="N252" s="1501"/>
      <c r="O252" s="1501"/>
      <c r="P252" s="1501"/>
      <c r="Q252" s="1501"/>
      <c r="R252" s="1501"/>
      <c r="S252" s="1501"/>
      <c r="T252" s="1501"/>
      <c r="U252" s="1501"/>
      <c r="V252" s="1501"/>
      <c r="W252" s="1501"/>
      <c r="X252" s="1501"/>
      <c r="Y252" s="1501"/>
      <c r="Z252" s="1501"/>
      <c r="AA252" s="1501"/>
      <c r="AB252" s="1501"/>
      <c r="AC252" s="1501"/>
      <c r="AD252" s="1501"/>
      <c r="AE252" s="1501"/>
      <c r="AF252" s="1501"/>
      <c r="AG252" s="1501"/>
      <c r="AH252" s="1501"/>
      <c r="AI252" s="1501"/>
      <c r="AJ252" s="1501"/>
      <c r="AK252" s="1501"/>
      <c r="AL252" s="1501"/>
      <c r="AM252" s="1501"/>
      <c r="AN252" s="1501"/>
      <c r="AO252" s="1501"/>
      <c r="AP252" s="1501"/>
      <c r="AQ252" s="1501"/>
      <c r="AR252" s="1501"/>
      <c r="AS252" s="1501"/>
      <c r="AT252" s="1501"/>
      <c r="AU252" s="1501"/>
      <c r="AV252" s="1501"/>
      <c r="AW252" s="1501"/>
      <c r="AX252" s="1501"/>
      <c r="AY252" s="1501"/>
      <c r="AZ252" s="1501"/>
    </row>
    <row r="253" spans="3:52" ht="30.75" customHeight="1"/>
    <row r="254" spans="3:52" ht="15" customHeight="1"/>
    <row r="255" spans="3:52" ht="15" customHeight="1"/>
    <row r="256" spans="3:52" ht="15" customHeight="1"/>
    <row r="257" spans="3:52" ht="15" customHeight="1">
      <c r="C257" s="1186"/>
      <c r="D257" s="1186"/>
      <c r="E257" s="1186"/>
      <c r="F257" s="1186"/>
      <c r="G257" s="1186"/>
      <c r="H257" s="1186"/>
      <c r="I257" s="1186"/>
      <c r="J257" s="1186"/>
      <c r="K257" s="1186"/>
      <c r="L257" s="1186"/>
      <c r="M257" s="1186"/>
      <c r="N257" s="1186"/>
      <c r="O257" s="1186"/>
      <c r="P257" s="1186"/>
      <c r="Q257" s="1186"/>
      <c r="R257" s="1186"/>
      <c r="S257" s="1186"/>
      <c r="T257" s="1186"/>
      <c r="U257" s="1186"/>
      <c r="V257" s="1186"/>
      <c r="W257" s="1186"/>
      <c r="X257" s="1186"/>
      <c r="Y257" s="1186"/>
      <c r="Z257" s="1186"/>
      <c r="AA257" s="1186"/>
      <c r="AB257" s="1186"/>
      <c r="AC257" s="1186"/>
      <c r="AD257" s="1186"/>
      <c r="AE257" s="1186"/>
      <c r="AF257" s="1186"/>
      <c r="AG257" s="1186"/>
      <c r="AH257" s="1186"/>
      <c r="AI257" s="1186"/>
      <c r="AJ257" s="1186"/>
      <c r="AK257" s="1186"/>
      <c r="AL257" s="1186"/>
      <c r="AM257" s="1186"/>
      <c r="AN257" s="1186"/>
      <c r="AO257" s="1186"/>
      <c r="AP257" s="1186"/>
      <c r="AQ257" s="1186"/>
      <c r="AR257" s="1186"/>
      <c r="AS257" s="1186"/>
      <c r="AT257" s="1186"/>
      <c r="AU257" s="1186"/>
      <c r="AV257" s="1186"/>
      <c r="AW257" s="1186"/>
      <c r="AX257" s="1186"/>
      <c r="AY257" s="1186"/>
      <c r="AZ257" s="1186"/>
    </row>
    <row r="258" spans="3:52" ht="15" customHeight="1">
      <c r="C258" s="714"/>
      <c r="D258" s="714"/>
      <c r="E258" s="714"/>
      <c r="F258" s="714"/>
      <c r="G258" s="714"/>
      <c r="H258" s="714"/>
      <c r="I258" s="714"/>
      <c r="J258" s="714"/>
      <c r="K258" s="714"/>
      <c r="L258" s="714"/>
      <c r="M258" s="714"/>
      <c r="N258" s="714"/>
      <c r="O258" s="714"/>
      <c r="P258" s="714"/>
      <c r="Q258" s="714"/>
      <c r="R258" s="714"/>
      <c r="S258" s="714"/>
      <c r="T258" s="714"/>
      <c r="U258" s="714"/>
      <c r="V258" s="714"/>
      <c r="W258" s="714"/>
      <c r="X258" s="714"/>
      <c r="Y258" s="714"/>
      <c r="Z258" s="715"/>
      <c r="AA258" s="730"/>
      <c r="AB258" s="714"/>
      <c r="AC258" s="714"/>
      <c r="AD258" s="714"/>
      <c r="AE258" s="714"/>
      <c r="AF258" s="714"/>
      <c r="AG258" s="714"/>
      <c r="AH258" s="714"/>
      <c r="AI258" s="714"/>
      <c r="AJ258" s="714"/>
      <c r="AK258" s="714"/>
      <c r="AL258" s="714"/>
      <c r="AM258" s="714"/>
      <c r="AN258" s="714"/>
      <c r="AO258" s="714"/>
      <c r="AP258" s="714"/>
      <c r="AQ258" s="714"/>
      <c r="AR258" s="714"/>
      <c r="AS258" s="714"/>
      <c r="AT258" s="716" t="str">
        <f>AT42</f>
        <v/>
      </c>
      <c r="AU258" s="717"/>
      <c r="AV258" s="1443" t="s">
        <v>565</v>
      </c>
      <c r="AW258" s="1443"/>
      <c r="AX258" s="1443"/>
      <c r="AY258" s="1443"/>
      <c r="AZ258" s="1443"/>
    </row>
    <row r="259" spans="3:52" ht="15" customHeight="1"/>
    <row r="260" spans="3:52" ht="15" customHeight="1">
      <c r="Z260" s="692"/>
      <c r="AA260" s="692"/>
    </row>
    <row r="261" spans="3:52" ht="26.25">
      <c r="C261" s="693" t="s">
        <v>570</v>
      </c>
      <c r="Z261" s="692"/>
      <c r="AA261" s="692"/>
    </row>
    <row r="262" spans="3:52" ht="15" customHeight="1">
      <c r="Z262" s="692"/>
      <c r="AA262" s="692"/>
    </row>
    <row r="263" spans="3:52" ht="22.5" customHeight="1">
      <c r="C263" s="694" t="s">
        <v>1185</v>
      </c>
      <c r="D263" s="695"/>
      <c r="E263" s="695"/>
      <c r="F263" s="695"/>
      <c r="G263" s="695"/>
      <c r="H263" s="695"/>
      <c r="I263" s="695"/>
      <c r="J263" s="695"/>
      <c r="K263" s="695"/>
      <c r="L263" s="695"/>
      <c r="M263" s="695"/>
      <c r="N263" s="695"/>
      <c r="O263" s="695"/>
      <c r="P263" s="695"/>
      <c r="Q263" s="695"/>
      <c r="R263" s="695"/>
      <c r="S263" s="695"/>
      <c r="T263" s="695"/>
      <c r="U263" s="695"/>
      <c r="V263" s="695"/>
      <c r="W263" s="695"/>
      <c r="X263" s="695"/>
      <c r="Y263" s="695"/>
      <c r="Z263" s="696"/>
      <c r="AA263" s="696"/>
      <c r="AB263" s="695"/>
      <c r="AC263" s="695"/>
      <c r="AD263" s="695"/>
      <c r="AE263" s="695"/>
      <c r="AF263" s="695"/>
      <c r="AG263" s="695"/>
      <c r="AH263" s="695"/>
      <c r="AI263" s="695"/>
      <c r="AJ263" s="695"/>
      <c r="AK263" s="695"/>
      <c r="AL263" s="695"/>
      <c r="AM263" s="695"/>
      <c r="AN263" s="695"/>
      <c r="AO263" s="695"/>
      <c r="AP263" s="695"/>
      <c r="AQ263" s="695"/>
      <c r="AR263" s="695"/>
      <c r="AS263" s="718"/>
      <c r="AT263" s="1444"/>
      <c r="AU263" s="1444"/>
      <c r="AV263" s="1444"/>
      <c r="AW263" s="1444"/>
      <c r="AX263" s="1444"/>
      <c r="AY263" s="1444"/>
      <c r="AZ263" s="1444"/>
    </row>
    <row r="264" spans="3:52" ht="15" customHeight="1">
      <c r="Z264" s="692"/>
      <c r="AA264" s="739"/>
    </row>
    <row r="265" spans="3:52" ht="15" customHeight="1">
      <c r="C265" s="713"/>
      <c r="D265" s="728"/>
      <c r="E265" s="728"/>
      <c r="F265" s="728"/>
      <c r="G265" s="728"/>
      <c r="H265" s="728"/>
      <c r="I265" s="728"/>
      <c r="J265" s="728"/>
      <c r="K265" s="728"/>
      <c r="L265" s="728"/>
      <c r="M265" s="728"/>
      <c r="N265" s="728"/>
      <c r="O265" s="728"/>
      <c r="P265" s="728"/>
      <c r="Q265" s="728"/>
      <c r="R265" s="728"/>
      <c r="S265" s="728"/>
      <c r="T265" s="728"/>
      <c r="U265" s="728"/>
      <c r="V265" s="728"/>
      <c r="W265" s="728"/>
      <c r="X265" s="728"/>
      <c r="Y265" s="728"/>
      <c r="Z265" s="728"/>
      <c r="AA265" s="739"/>
      <c r="AB265" s="728"/>
      <c r="AC265" s="728"/>
      <c r="AD265" s="728"/>
      <c r="AE265" s="728"/>
      <c r="AF265" s="728"/>
      <c r="AG265" s="728"/>
      <c r="AH265" s="728"/>
      <c r="AI265" s="728"/>
      <c r="AJ265" s="728"/>
      <c r="AK265" s="728"/>
      <c r="AL265" s="728"/>
      <c r="AM265" s="728"/>
      <c r="AN265" s="728"/>
      <c r="AO265" s="728"/>
      <c r="AP265" s="728"/>
      <c r="AQ265" s="728"/>
      <c r="AR265" s="728"/>
      <c r="AS265" s="728"/>
      <c r="AT265" s="728"/>
      <c r="AU265" s="728"/>
      <c r="AV265" s="728"/>
      <c r="AW265" s="728"/>
      <c r="AX265" s="728"/>
      <c r="AY265" s="728"/>
      <c r="AZ265" s="728"/>
    </row>
    <row r="266" spans="3:52" ht="15" customHeight="1">
      <c r="C266" s="1483" t="s">
        <v>662</v>
      </c>
      <c r="D266" s="1483"/>
      <c r="E266" s="1483"/>
      <c r="F266" s="1483"/>
      <c r="G266" s="1483"/>
      <c r="H266" s="1483"/>
      <c r="I266" s="1483"/>
      <c r="J266" s="1483"/>
      <c r="K266" s="1483"/>
      <c r="L266" s="1483"/>
      <c r="M266" s="1483"/>
      <c r="N266" s="1483"/>
      <c r="O266" s="1483"/>
      <c r="P266" s="1483"/>
      <c r="Q266" s="740"/>
      <c r="R266" s="740"/>
      <c r="S266" s="740"/>
      <c r="T266" s="740"/>
      <c r="U266" s="740"/>
      <c r="V266" s="740"/>
      <c r="W266" s="740"/>
      <c r="X266" s="740"/>
      <c r="Y266" s="740"/>
      <c r="Z266" s="740"/>
      <c r="AA266" s="739"/>
      <c r="AB266" s="728"/>
      <c r="AC266" s="1483" t="s">
        <v>675</v>
      </c>
      <c r="AD266" s="1483"/>
      <c r="AE266" s="1483"/>
      <c r="AF266" s="1483"/>
      <c r="AG266" s="1483"/>
      <c r="AH266" s="1483"/>
      <c r="AI266" s="1483"/>
      <c r="AJ266" s="1483"/>
      <c r="AK266" s="1483"/>
      <c r="AL266" s="1483"/>
      <c r="AM266" s="1483"/>
      <c r="AN266" s="740"/>
      <c r="AO266" s="1483" t="str">
        <f ca="1">'Age Pension Calculator'!P38</f>
        <v>Person 1</v>
      </c>
      <c r="AP266" s="1483"/>
      <c r="AQ266" s="1483"/>
      <c r="AR266" s="1483"/>
      <c r="AS266" s="1483"/>
      <c r="AT266" s="740"/>
      <c r="AU266" s="740"/>
      <c r="AV266" s="1483" t="str">
        <f ca="1">'Age Pension Calculator'!P41</f>
        <v>Person 1</v>
      </c>
      <c r="AW266" s="1483"/>
      <c r="AX266" s="1483"/>
      <c r="AY266" s="1483"/>
      <c r="AZ266" s="1483"/>
    </row>
    <row r="267" spans="3:52" ht="15" customHeight="1">
      <c r="C267" s="1487" t="s">
        <v>663</v>
      </c>
      <c r="D267" s="1487"/>
      <c r="E267" s="1487"/>
      <c r="F267" s="1487"/>
      <c r="G267" s="1487"/>
      <c r="H267" s="1487"/>
      <c r="I267" s="1487"/>
      <c r="J267" s="1487"/>
      <c r="K267" s="1487"/>
      <c r="L267" s="1487"/>
      <c r="M267" s="1487"/>
      <c r="O267" s="1437">
        <f>Settings!J63</f>
        <v>2.5000000000000001E-2</v>
      </c>
      <c r="P267" s="1438"/>
      <c r="Q267" s="1438"/>
      <c r="AA267" s="739"/>
      <c r="AB267" s="728"/>
      <c r="AC267" s="1481" t="s">
        <v>867</v>
      </c>
      <c r="AD267" s="1481"/>
      <c r="AE267" s="1481"/>
      <c r="AF267" s="1481"/>
      <c r="AG267" s="1481"/>
      <c r="AH267" s="1481"/>
      <c r="AI267" s="1481"/>
      <c r="AJ267" s="1481"/>
      <c r="AK267" s="1481"/>
      <c r="AL267" s="1481"/>
      <c r="AM267" s="701"/>
      <c r="AN267" s="701"/>
      <c r="AO267" s="1490" t="str">
        <f>IF(Settings!H13="Yes","Yes","No - new")</f>
        <v>No - new</v>
      </c>
      <c r="AP267" s="1490"/>
      <c r="AQ267" s="1490"/>
      <c r="AR267" s="1490"/>
      <c r="AS267" s="742"/>
      <c r="AT267" s="742"/>
      <c r="AU267" s="742"/>
      <c r="AV267" s="1490" t="str">
        <f>IF(Settings!H15="Yes","Yes","No - new")</f>
        <v>No - new</v>
      </c>
      <c r="AW267" s="1490"/>
      <c r="AX267" s="1490"/>
      <c r="AY267" s="1490"/>
      <c r="AZ267" s="742"/>
    </row>
    <row r="268" spans="3:52" ht="15" customHeight="1">
      <c r="AA268" s="739"/>
      <c r="AB268" s="728"/>
      <c r="AC268" s="1521" t="s">
        <v>866</v>
      </c>
      <c r="AD268" s="1521"/>
      <c r="AE268" s="1521"/>
      <c r="AF268" s="1521"/>
      <c r="AG268" s="1521"/>
      <c r="AH268" s="1521"/>
      <c r="AI268" s="1521"/>
      <c r="AJ268" s="1521"/>
      <c r="AK268" s="1521"/>
      <c r="AL268" s="1521"/>
      <c r="AM268" s="701"/>
      <c r="AN268" s="701"/>
      <c r="AO268" s="1500" t="str">
        <f>IF(AO267="No - new","Deemed",Settings!L13)</f>
        <v>Deemed</v>
      </c>
      <c r="AP268" s="1500"/>
      <c r="AQ268" s="1500"/>
      <c r="AR268" s="1500"/>
      <c r="AS268" s="1500"/>
      <c r="AT268" s="1500"/>
      <c r="AU268" s="742"/>
      <c r="AV268" s="1500" t="str">
        <f>IF(AV267="No - new","Deemed",Settings!L15)</f>
        <v>Deemed</v>
      </c>
      <c r="AW268" s="1500"/>
      <c r="AX268" s="1500"/>
      <c r="AY268" s="1500"/>
      <c r="AZ268" s="1500"/>
    </row>
    <row r="269" spans="3:52" ht="15" customHeight="1">
      <c r="C269" s="1483" t="s">
        <v>642</v>
      </c>
      <c r="D269" s="1483"/>
      <c r="E269" s="1483"/>
      <c r="F269" s="1483"/>
      <c r="G269" s="1483"/>
      <c r="H269" s="1483"/>
      <c r="I269" s="1483"/>
      <c r="J269" s="740"/>
      <c r="K269" s="740"/>
      <c r="L269" s="740"/>
      <c r="M269" s="740"/>
      <c r="N269" s="740"/>
      <c r="O269" s="1483" t="s">
        <v>22</v>
      </c>
      <c r="P269" s="1483"/>
      <c r="Q269" s="1483"/>
      <c r="R269" s="1483"/>
      <c r="S269" s="1483"/>
      <c r="T269" s="740"/>
      <c r="U269" s="740"/>
      <c r="V269" s="1483" t="s">
        <v>23</v>
      </c>
      <c r="W269" s="1483"/>
      <c r="X269" s="1483"/>
      <c r="Y269" s="1483"/>
      <c r="Z269" s="1483"/>
      <c r="AA269" s="739"/>
      <c r="AB269" s="728"/>
      <c r="AC269" s="1521" t="s">
        <v>677</v>
      </c>
      <c r="AD269" s="1521"/>
      <c r="AE269" s="1521"/>
      <c r="AF269" s="1521"/>
      <c r="AG269" s="1521"/>
      <c r="AH269" s="1521"/>
      <c r="AI269" s="1521"/>
      <c r="AJ269" s="1521"/>
      <c r="AK269" s="1521"/>
      <c r="AL269" s="1521"/>
      <c r="AM269" s="701"/>
      <c r="AN269" s="706"/>
      <c r="AO269" s="1484" t="str">
        <f>IF(AO268="Deemed","N/A",Settings!N13)</f>
        <v>N/A</v>
      </c>
      <c r="AP269" s="1484"/>
      <c r="AQ269" s="1484"/>
      <c r="AR269" s="1484"/>
      <c r="AS269" s="1484"/>
      <c r="AT269" s="706"/>
      <c r="AU269" s="706"/>
      <c r="AV269" s="1484" t="str">
        <f>IF(AV268="Deemed","N/A",Settings!N15)</f>
        <v>N/A</v>
      </c>
      <c r="AW269" s="1484"/>
      <c r="AX269" s="1484"/>
      <c r="AY269" s="1484"/>
      <c r="AZ269" s="1484"/>
    </row>
    <row r="270" spans="3:52" ht="15" customHeight="1">
      <c r="C270" s="1481" t="s">
        <v>644</v>
      </c>
      <c r="D270" s="1481"/>
      <c r="E270" s="1481"/>
      <c r="F270" s="1481"/>
      <c r="G270" s="1481"/>
      <c r="H270" s="1481"/>
      <c r="I270" s="1481"/>
      <c r="J270" s="1481"/>
      <c r="K270" s="1481"/>
      <c r="L270" s="1481"/>
      <c r="M270" s="1481"/>
      <c r="N270" s="741"/>
      <c r="O270" s="1520">
        <f>'Age Pension Calculator'!X69</f>
        <v>1</v>
      </c>
      <c r="P270" s="1520"/>
      <c r="Q270" s="1520"/>
      <c r="R270" s="743"/>
      <c r="S270" s="743"/>
      <c r="T270" s="743"/>
      <c r="U270" s="743"/>
      <c r="V270" s="1520">
        <f>'Age Pension Calculator'!X74</f>
        <v>1</v>
      </c>
      <c r="W270" s="1520"/>
      <c r="X270" s="1520"/>
      <c r="Y270" s="741"/>
      <c r="Z270" s="741"/>
      <c r="AA270" s="739"/>
      <c r="AB270" s="728"/>
      <c r="AC270" s="1485" t="s">
        <v>676</v>
      </c>
      <c r="AD270" s="1485"/>
      <c r="AE270" s="1485"/>
      <c r="AF270" s="1485"/>
      <c r="AG270" s="1485"/>
      <c r="AH270" s="1485"/>
      <c r="AI270" s="1485"/>
      <c r="AJ270" s="1485"/>
      <c r="AM270" s="744"/>
      <c r="AN270" s="744"/>
      <c r="AO270" s="1492" t="str">
        <f>IF(OR(AO267="No - new",AO268="Deemed"),"N/A",Settings!P13)</f>
        <v>N/A</v>
      </c>
      <c r="AP270" s="1492"/>
      <c r="AQ270" s="1492"/>
      <c r="AR270" s="1492"/>
      <c r="AS270" s="1492"/>
      <c r="AT270" s="745"/>
      <c r="AU270" s="745"/>
      <c r="AV270" s="1492" t="str">
        <f>IF(OR(AV267="No - new",AV268="Deemed"),"N/A",Settings!P15)</f>
        <v>N/A</v>
      </c>
      <c r="AW270" s="1492"/>
      <c r="AX270" s="1492"/>
      <c r="AY270" s="1492"/>
      <c r="AZ270" s="1492"/>
    </row>
    <row r="271" spans="3:52" ht="15" customHeight="1">
      <c r="C271" s="1482" t="s">
        <v>645</v>
      </c>
      <c r="D271" s="1482"/>
      <c r="E271" s="1482"/>
      <c r="F271" s="1482"/>
      <c r="G271" s="1482"/>
      <c r="H271" s="1482"/>
      <c r="I271" s="1482"/>
      <c r="J271" s="1482"/>
      <c r="K271" s="746"/>
      <c r="L271" s="746"/>
      <c r="M271" s="746"/>
      <c r="N271" s="746"/>
      <c r="O271" s="1437">
        <f>Settings!J83</f>
        <v>2.5000000000000001E-2</v>
      </c>
      <c r="P271" s="1438"/>
      <c r="Q271" s="1438"/>
      <c r="R271" s="727"/>
      <c r="S271" s="727"/>
      <c r="T271" s="727"/>
      <c r="U271" s="727"/>
      <c r="V271" s="1437">
        <f>Settings!J83</f>
        <v>2.5000000000000001E-2</v>
      </c>
      <c r="W271" s="1438"/>
      <c r="X271" s="1438"/>
      <c r="Y271" s="746"/>
      <c r="Z271" s="746"/>
      <c r="AA271" s="739"/>
      <c r="AB271" s="728"/>
      <c r="AC271" s="1486"/>
      <c r="AD271" s="1486"/>
      <c r="AE271" s="1486"/>
      <c r="AF271" s="1486"/>
      <c r="AG271" s="1486"/>
      <c r="AH271" s="1486"/>
      <c r="AI271" s="1486"/>
      <c r="AJ271" s="1486"/>
      <c r="AK271" s="701"/>
      <c r="AL271" s="701"/>
      <c r="AM271" s="747"/>
      <c r="AN271" s="747"/>
      <c r="AO271" s="1493"/>
      <c r="AP271" s="1493"/>
      <c r="AQ271" s="1493"/>
      <c r="AR271" s="1493"/>
      <c r="AS271" s="1493"/>
      <c r="AT271" s="748"/>
      <c r="AU271" s="748"/>
      <c r="AV271" s="1493"/>
      <c r="AW271" s="1493"/>
      <c r="AX271" s="1493"/>
      <c r="AY271" s="1493"/>
      <c r="AZ271" s="1493"/>
    </row>
    <row r="272" spans="3:52" ht="15" customHeight="1">
      <c r="C272" s="728"/>
      <c r="D272" s="728"/>
      <c r="E272" s="728"/>
      <c r="F272" s="728"/>
      <c r="G272" s="728"/>
      <c r="H272" s="728"/>
      <c r="I272" s="728"/>
      <c r="J272" s="728"/>
      <c r="K272" s="728"/>
      <c r="L272" s="728"/>
      <c r="M272" s="728"/>
      <c r="N272" s="728"/>
      <c r="O272" s="728"/>
      <c r="P272" s="728"/>
      <c r="Q272" s="728"/>
      <c r="R272" s="728"/>
      <c r="S272" s="728"/>
      <c r="T272" s="728"/>
      <c r="U272" s="728"/>
      <c r="V272" s="728"/>
      <c r="W272" s="728"/>
      <c r="X272" s="728"/>
      <c r="Y272" s="728"/>
      <c r="Z272" s="728"/>
      <c r="AA272" s="739"/>
      <c r="AB272" s="728"/>
      <c r="AC272" s="1521" t="s">
        <v>879</v>
      </c>
      <c r="AD272" s="1521"/>
      <c r="AE272" s="1521"/>
      <c r="AF272" s="1521"/>
      <c r="AG272" s="1521"/>
      <c r="AH272" s="1521"/>
      <c r="AI272" s="1521"/>
      <c r="AJ272" s="1521"/>
      <c r="AK272" s="1521"/>
      <c r="AL272" s="701"/>
      <c r="AM272" s="701"/>
      <c r="AN272" s="706"/>
      <c r="AO272" s="1494" t="str">
        <f>IF(AO268="Deemed","N/A",Settings!R13)</f>
        <v>N/A</v>
      </c>
      <c r="AP272" s="1494"/>
      <c r="AQ272" s="1494"/>
      <c r="AR272" s="1494"/>
      <c r="AS272" s="1494"/>
      <c r="AT272" s="706"/>
      <c r="AU272" s="706"/>
      <c r="AV272" s="1495" t="str">
        <f>IF(AV268="Deemed","N/A",Settings!R15)</f>
        <v>N/A</v>
      </c>
      <c r="AW272" s="1495"/>
      <c r="AX272" s="1495"/>
      <c r="AY272" s="1495"/>
      <c r="AZ272" s="1495"/>
    </row>
    <row r="273" spans="3:52" ht="15" customHeight="1">
      <c r="C273" s="1483" t="s">
        <v>886</v>
      </c>
      <c r="D273" s="1483"/>
      <c r="E273" s="1483"/>
      <c r="F273" s="1483"/>
      <c r="G273" s="1483"/>
      <c r="H273" s="1483"/>
      <c r="I273" s="1483"/>
      <c r="J273" s="1483"/>
      <c r="K273" s="1483"/>
      <c r="L273" s="1483"/>
      <c r="M273" s="1483"/>
      <c r="N273" s="1483"/>
      <c r="O273" s="1483"/>
      <c r="P273" s="1483"/>
      <c r="Q273" s="1483"/>
      <c r="R273" s="1483"/>
      <c r="S273" s="1483"/>
      <c r="T273" s="740"/>
      <c r="U273" s="740"/>
      <c r="V273" s="740"/>
      <c r="W273" s="740"/>
      <c r="X273" s="740"/>
      <c r="Y273" s="740"/>
      <c r="Z273" s="740"/>
      <c r="AA273" s="739"/>
      <c r="AB273" s="728"/>
    </row>
    <row r="274" spans="3:52" ht="15" customHeight="1" thickBot="1">
      <c r="C274" s="1415" t="s">
        <v>197</v>
      </c>
      <c r="D274" s="1415"/>
      <c r="E274" s="1415"/>
      <c r="F274" s="1415"/>
      <c r="G274" s="1415"/>
      <c r="H274" s="1415"/>
      <c r="I274" s="1415"/>
      <c r="J274" s="1415"/>
      <c r="K274" s="1415"/>
      <c r="L274" s="1415"/>
      <c r="M274" s="707"/>
      <c r="N274" s="707"/>
      <c r="O274" s="1507">
        <f>Settings!J79</f>
        <v>-2.5000000000000001E-2</v>
      </c>
      <c r="P274" s="1508"/>
      <c r="Q274" s="1508"/>
      <c r="R274" s="707"/>
      <c r="S274" s="750"/>
      <c r="T274" s="750"/>
      <c r="U274" s="750"/>
      <c r="V274" s="750"/>
      <c r="W274" s="750"/>
      <c r="X274" s="750"/>
      <c r="Y274" s="750"/>
      <c r="Z274" s="750"/>
      <c r="AA274" s="739"/>
      <c r="AB274" s="728"/>
      <c r="AC274" s="1514" t="s">
        <v>1210</v>
      </c>
      <c r="AD274" s="1514"/>
      <c r="AE274" s="1514"/>
      <c r="AF274" s="1514"/>
      <c r="AG274" s="1514"/>
      <c r="AH274" s="1514"/>
      <c r="AI274" s="1514"/>
      <c r="AJ274" s="1514"/>
      <c r="AK274" s="1514"/>
      <c r="AL274" s="1514"/>
      <c r="AM274" s="1514"/>
      <c r="AN274" s="1514"/>
      <c r="AO274" s="1514"/>
      <c r="AP274" s="1514"/>
      <c r="AQ274" s="1514"/>
      <c r="AR274" s="1514"/>
      <c r="AS274" s="749"/>
      <c r="AT274" s="749"/>
      <c r="AU274" s="749"/>
      <c r="AV274" s="749"/>
      <c r="AW274" s="749"/>
      <c r="AX274" s="749"/>
      <c r="AY274" s="749"/>
      <c r="AZ274" s="749"/>
    </row>
    <row r="275" spans="3:52" ht="15" customHeight="1">
      <c r="C275" s="1422" t="s">
        <v>567</v>
      </c>
      <c r="D275" s="1422"/>
      <c r="E275" s="1422"/>
      <c r="F275" s="1422"/>
      <c r="G275" s="1422"/>
      <c r="H275" s="1422"/>
      <c r="I275" s="1422"/>
      <c r="J275" s="1422"/>
      <c r="K275" s="1422"/>
      <c r="L275" s="709"/>
      <c r="M275" s="709"/>
      <c r="N275" s="709"/>
      <c r="O275" s="1509">
        <f>Settings!N79</f>
        <v>2.5000000000000001E-2</v>
      </c>
      <c r="P275" s="1510"/>
      <c r="Q275" s="1510"/>
      <c r="R275" s="709"/>
      <c r="S275" s="751"/>
      <c r="T275" s="751"/>
      <c r="U275" s="751"/>
      <c r="V275" s="751"/>
      <c r="W275" s="751"/>
      <c r="X275" s="751"/>
      <c r="Y275" s="751"/>
      <c r="Z275" s="751"/>
      <c r="AA275" s="739"/>
      <c r="AB275" s="728"/>
      <c r="AC275" s="746"/>
      <c r="AD275" s="746"/>
      <c r="AE275" s="746"/>
      <c r="AF275" s="746"/>
      <c r="AG275" s="746"/>
      <c r="AH275" s="1522" t="s">
        <v>880</v>
      </c>
      <c r="AI275" s="1522"/>
      <c r="AJ275" s="1522"/>
      <c r="AK275" s="1522"/>
      <c r="AL275" s="1522"/>
      <c r="AM275" s="746"/>
      <c r="AN275" s="746"/>
      <c r="AO275" s="1488">
        <f>IF('Age Pension Calculator'!V38=0,"N/A",'Age Pension Calculator'!T33)</f>
        <v>0.6</v>
      </c>
      <c r="AP275" s="1488"/>
      <c r="AQ275" s="1488"/>
      <c r="AR275" s="1092"/>
      <c r="AS275" s="1092"/>
      <c r="AT275" s="1092"/>
      <c r="AU275" s="1092"/>
      <c r="AV275" s="1488">
        <f>IF('Age Pension Calculator'!V41=0,"N/A",'Age Pension Calculator'!T33)</f>
        <v>0.6</v>
      </c>
      <c r="AW275" s="1489"/>
      <c r="AX275" s="1489"/>
      <c r="AY275" s="746"/>
      <c r="AZ275" s="746"/>
    </row>
    <row r="276" spans="3:52" ht="15" customHeight="1">
      <c r="C276" s="1422" t="s">
        <v>894</v>
      </c>
      <c r="D276" s="1422"/>
      <c r="E276" s="1422"/>
      <c r="F276" s="1422"/>
      <c r="G276" s="1422"/>
      <c r="H276" s="1422"/>
      <c r="I276" s="1422"/>
      <c r="J276" s="1422"/>
      <c r="K276" s="1422"/>
      <c r="L276" s="709"/>
      <c r="M276" s="709"/>
      <c r="N276" s="709"/>
      <c r="O276" s="1509">
        <f>Settings!J59</f>
        <v>0.03</v>
      </c>
      <c r="P276" s="1510"/>
      <c r="Q276" s="1510"/>
      <c r="R276" s="709"/>
      <c r="S276" s="751"/>
      <c r="T276" s="751"/>
      <c r="U276" s="751"/>
      <c r="V276" s="751"/>
      <c r="W276" s="751"/>
      <c r="X276" s="751"/>
      <c r="Y276" s="751"/>
      <c r="Z276" s="751"/>
      <c r="AA276" s="739"/>
      <c r="AB276" s="728"/>
      <c r="AC276" s="741"/>
      <c r="AD276" s="741"/>
      <c r="AE276" s="741"/>
      <c r="AF276" s="741"/>
      <c r="AG276" s="741"/>
      <c r="AH276" s="1523" t="s">
        <v>881</v>
      </c>
      <c r="AI276" s="1523"/>
      <c r="AJ276" s="1523"/>
      <c r="AK276" s="1523"/>
      <c r="AL276" s="1523"/>
      <c r="AM276" s="741"/>
      <c r="AN276" s="741"/>
      <c r="AO276" s="1506">
        <f>IF('Age Pension Calculator'!V38=0,"N/A",'Age Pension Calculator'!X33)</f>
        <v>0.4</v>
      </c>
      <c r="AP276" s="1506"/>
      <c r="AQ276" s="1506"/>
      <c r="AR276" s="1123"/>
      <c r="AS276" s="1123"/>
      <c r="AT276" s="1123"/>
      <c r="AU276" s="1123"/>
      <c r="AV276" s="1506">
        <f>IF('Age Pension Calculator'!V41=0,"N/A",'Age Pension Calculator'!X33)</f>
        <v>0.4</v>
      </c>
      <c r="AW276" s="1520"/>
      <c r="AX276" s="1520"/>
      <c r="AY276" s="741"/>
      <c r="AZ276" s="741"/>
    </row>
    <row r="277" spans="3:52" ht="15" customHeight="1">
      <c r="C277" s="1529" t="s">
        <v>887</v>
      </c>
      <c r="D277" s="1529"/>
      <c r="E277" s="1529"/>
      <c r="F277" s="1529"/>
      <c r="G277" s="1529"/>
      <c r="H277" s="1529"/>
      <c r="I277" s="1529"/>
      <c r="J277" s="1529"/>
      <c r="K277" s="1529"/>
      <c r="L277" s="760"/>
      <c r="M277" s="760"/>
      <c r="N277" s="760"/>
      <c r="O277" s="1511">
        <f>Settings!J81</f>
        <v>2.5000000000000001E-2</v>
      </c>
      <c r="P277" s="1512"/>
      <c r="Q277" s="1512"/>
      <c r="R277" s="760"/>
      <c r="S277" s="729"/>
      <c r="T277" s="729"/>
      <c r="U277" s="729"/>
      <c r="V277" s="729"/>
      <c r="W277" s="729"/>
      <c r="X277" s="729"/>
      <c r="Y277" s="729"/>
      <c r="Z277" s="729"/>
      <c r="AA277" s="739"/>
      <c r="AB277" s="728"/>
      <c r="AC277" s="728"/>
      <c r="AD277" s="728"/>
      <c r="AE277" s="728"/>
      <c r="AF277" s="728"/>
      <c r="AG277" s="728"/>
      <c r="AH277" s="728"/>
      <c r="AI277" s="728"/>
      <c r="AQ277" s="728"/>
      <c r="AR277" s="728"/>
      <c r="AS277" s="728"/>
      <c r="AT277" s="728"/>
      <c r="AU277" s="728"/>
      <c r="AV277" s="728"/>
      <c r="AW277" s="728"/>
      <c r="AX277" s="728"/>
      <c r="AY277" s="728"/>
      <c r="AZ277" s="728"/>
    </row>
    <row r="278" spans="3:52" ht="15" customHeight="1" thickBot="1">
      <c r="C278" s="1415" t="s">
        <v>418</v>
      </c>
      <c r="D278" s="1415"/>
      <c r="E278" s="1415"/>
      <c r="F278" s="1415"/>
      <c r="G278" s="1415"/>
      <c r="H278" s="1415"/>
      <c r="I278" s="1415"/>
      <c r="J278" s="1415"/>
      <c r="K278" s="1415"/>
      <c r="L278" s="761"/>
      <c r="M278" s="761"/>
      <c r="N278" s="761"/>
      <c r="O278" s="1507">
        <f>Settings!N81</f>
        <v>2.5000000000000001E-2</v>
      </c>
      <c r="P278" s="1508"/>
      <c r="Q278" s="1508"/>
      <c r="R278" s="707"/>
      <c r="S278" s="750"/>
      <c r="T278" s="750"/>
      <c r="U278" s="750"/>
      <c r="V278" s="750"/>
      <c r="W278" s="750"/>
      <c r="X278" s="750"/>
      <c r="Y278" s="750"/>
      <c r="Z278" s="750"/>
      <c r="AA278" s="739"/>
      <c r="AB278" s="728"/>
      <c r="AC278" s="1514" t="str">
        <f>IF(AND('Admin Settings'!N38=0,'Admin Settings'!N39=0),"ABP Asset allocation - new (Liquid Lifetime regular income) portfolio","ABP Asset allocation - new (Liquid Lifetime regular income) portfolio*")</f>
        <v>ABP Asset allocation - new (Liquid Lifetime regular income) portfolio*</v>
      </c>
      <c r="AD278" s="1514"/>
      <c r="AE278" s="1514"/>
      <c r="AF278" s="1514"/>
      <c r="AG278" s="1514"/>
      <c r="AH278" s="1514"/>
      <c r="AI278" s="1514"/>
      <c r="AJ278" s="1514"/>
      <c r="AK278" s="1514"/>
      <c r="AL278" s="1514"/>
      <c r="AM278" s="1514"/>
      <c r="AN278" s="1514"/>
      <c r="AO278" s="1514"/>
      <c r="AP278" s="1514"/>
      <c r="AQ278" s="1514"/>
      <c r="AR278" s="1514"/>
      <c r="AS278" s="1514"/>
      <c r="AT278" s="1514"/>
      <c r="AU278" s="1514"/>
      <c r="AV278" s="1514"/>
      <c r="AW278" s="1514"/>
      <c r="AX278" s="1514"/>
      <c r="AY278" s="1514"/>
      <c r="AZ278" s="749"/>
    </row>
    <row r="279" spans="3:52" ht="15" customHeight="1">
      <c r="C279" s="1422" t="s">
        <v>179</v>
      </c>
      <c r="D279" s="1422"/>
      <c r="E279" s="1422"/>
      <c r="F279" s="1422"/>
      <c r="G279" s="1422"/>
      <c r="H279" s="1422"/>
      <c r="I279" s="1422"/>
      <c r="J279" s="1422"/>
      <c r="K279" s="1422"/>
      <c r="L279" s="709"/>
      <c r="M279" s="709"/>
      <c r="N279" s="709"/>
      <c r="O279" s="1509">
        <f>Settings!N83</f>
        <v>2.5000000000000001E-2</v>
      </c>
      <c r="P279" s="1510"/>
      <c r="Q279" s="1510"/>
      <c r="R279" s="709"/>
      <c r="S279" s="751"/>
      <c r="T279" s="751"/>
      <c r="U279" s="751"/>
      <c r="V279" s="751"/>
      <c r="W279" s="751"/>
      <c r="X279" s="751"/>
      <c r="Y279" s="751"/>
      <c r="Z279" s="751"/>
      <c r="AA279" s="739"/>
      <c r="AB279" s="728"/>
      <c r="AC279" s="746"/>
      <c r="AD279" s="746"/>
      <c r="AE279" s="746"/>
      <c r="AF279" s="746"/>
      <c r="AG279" s="746"/>
      <c r="AH279" s="1522" t="s">
        <v>880</v>
      </c>
      <c r="AI279" s="1522"/>
      <c r="AJ279" s="1522"/>
      <c r="AK279" s="1522"/>
      <c r="AL279" s="1522"/>
      <c r="AM279" s="746"/>
      <c r="AN279" s="746"/>
      <c r="AO279" s="1474">
        <f>IF('Age Pension Calculator'!V38=0,"N/A",'Admin Settings'!N39)</f>
        <v>0.2</v>
      </c>
      <c r="AP279" s="1474"/>
      <c r="AQ279" s="1474"/>
      <c r="AR279" s="1093"/>
      <c r="AS279" s="1093"/>
      <c r="AT279" s="1093"/>
      <c r="AU279" s="1093"/>
      <c r="AV279" s="1474">
        <f>IF('Age Pension Calculator'!V41=0,"N/A",'Admin Settings'!N39)</f>
        <v>0.2</v>
      </c>
      <c r="AW279" s="1474"/>
      <c r="AX279" s="1474"/>
      <c r="AY279" s="746"/>
      <c r="AZ279" s="746"/>
    </row>
    <row r="280" spans="3:52" ht="15" customHeight="1">
      <c r="AA280" s="739"/>
      <c r="AB280" s="728"/>
      <c r="AC280" s="741"/>
      <c r="AD280" s="741"/>
      <c r="AE280" s="741"/>
      <c r="AF280" s="741"/>
      <c r="AG280" s="741"/>
      <c r="AH280" s="1523" t="s">
        <v>881</v>
      </c>
      <c r="AI280" s="1523"/>
      <c r="AJ280" s="1523"/>
      <c r="AK280" s="1523"/>
      <c r="AL280" s="1523"/>
      <c r="AM280" s="741"/>
      <c r="AN280" s="741"/>
      <c r="AO280" s="1475">
        <f>IF('Age Pension Calculator'!V38=0,"N/A",'Admin Settings'!N38)</f>
        <v>0.8</v>
      </c>
      <c r="AP280" s="1475"/>
      <c r="AQ280" s="1475"/>
      <c r="AR280" s="1094"/>
      <c r="AS280" s="1094"/>
      <c r="AT280" s="1094"/>
      <c r="AU280" s="1094"/>
      <c r="AV280" s="1475">
        <f>IF('Age Pension Calculator'!V41=0,"N/A",'Admin Settings'!N38)</f>
        <v>0.8</v>
      </c>
      <c r="AW280" s="1475"/>
      <c r="AX280" s="1475"/>
      <c r="AY280" s="741"/>
      <c r="AZ280" s="741"/>
    </row>
    <row r="281" spans="3:52" ht="15" customHeight="1">
      <c r="C281" s="1122" t="str">
        <f>IF('Admin Settings'!D87="Custom","Liquid Lifetime annuity (custom)","Liquid Lifetime annuity")</f>
        <v>Liquid Lifetime annuity</v>
      </c>
      <c r="D281" s="1122"/>
      <c r="E281" s="1122"/>
      <c r="F281" s="1122"/>
      <c r="G281" s="1122"/>
      <c r="H281" s="1122"/>
      <c r="I281" s="1122"/>
      <c r="J281" s="1122"/>
      <c r="K281" s="1122"/>
      <c r="L281" s="1122"/>
      <c r="M281" s="1122"/>
      <c r="N281" s="1122"/>
      <c r="O281" s="1483" t="str">
        <f ca="1">'Admin Settings'!Y86</f>
        <v>Person 1</v>
      </c>
      <c r="P281" s="1483"/>
      <c r="Q281" s="1483"/>
      <c r="R281" s="1483"/>
      <c r="S281" s="1483"/>
      <c r="T281" s="1483"/>
      <c r="U281" s="740"/>
      <c r="V281" s="1483" t="str">
        <f ca="1">'Admin Settings'!Y87</f>
        <v>Person 1</v>
      </c>
      <c r="W281" s="1483"/>
      <c r="X281" s="1483"/>
      <c r="Y281" s="1483"/>
      <c r="Z281" s="1483"/>
      <c r="AA281" s="739"/>
      <c r="AB281" s="728"/>
      <c r="AC281" s="1476" t="str">
        <f>"* Total superannuation portfolio asset allocation inclusive of Annuity is Defensive "&amp;ROUND('Admin Settings'!N48*100,0)&amp;"% / Growth "&amp;ROUND('Admin Settings'!N47*100,0)&amp;"%"</f>
        <v>* Total superannuation portfolio asset allocation inclusive of Annuity is Defensive 60% / Growth 40%</v>
      </c>
      <c r="AD281" s="1476"/>
      <c r="AE281" s="1476"/>
      <c r="AF281" s="1476"/>
      <c r="AG281" s="1476"/>
      <c r="AH281" s="1476"/>
      <c r="AI281" s="1476"/>
      <c r="AJ281" s="1476"/>
      <c r="AK281" s="1476"/>
      <c r="AL281" s="1476"/>
      <c r="AM281" s="1476"/>
      <c r="AN281" s="1476"/>
      <c r="AO281" s="1476"/>
      <c r="AP281" s="1476"/>
      <c r="AQ281" s="1476"/>
      <c r="AR281" s="1476"/>
      <c r="AS281" s="1476"/>
      <c r="AT281" s="1476"/>
      <c r="AU281" s="1476"/>
      <c r="AV281" s="1476"/>
      <c r="AW281" s="1476"/>
      <c r="AX281" s="1476"/>
      <c r="AY281" s="1476"/>
      <c r="AZ281" s="1476"/>
    </row>
    <row r="282" spans="3:52" ht="15" customHeight="1">
      <c r="C282" s="1415" t="s">
        <v>664</v>
      </c>
      <c r="D282" s="1415"/>
      <c r="E282" s="1415"/>
      <c r="F282" s="1415"/>
      <c r="G282" s="1415"/>
      <c r="H282" s="1415"/>
      <c r="I282" s="1415"/>
      <c r="J282" s="1415"/>
      <c r="K282" s="750"/>
      <c r="L282" s="750"/>
      <c r="M282" s="750"/>
      <c r="N282" s="750"/>
      <c r="O282" s="1490" t="str">
        <f>'Admin Settings'!I86</f>
        <v>Regular income</v>
      </c>
      <c r="P282" s="1490"/>
      <c r="Q282" s="1490"/>
      <c r="R282" s="1490"/>
      <c r="S282" s="1490"/>
      <c r="T282" s="1490"/>
      <c r="U282" s="750"/>
      <c r="V282" s="1434" t="str">
        <f>'Admin Settings'!I87</f>
        <v>Regular income</v>
      </c>
      <c r="W282" s="1434"/>
      <c r="X282" s="1434"/>
      <c r="Y282" s="1434"/>
      <c r="Z282" s="1434"/>
      <c r="AA282" s="739"/>
      <c r="AB282" s="728"/>
      <c r="AC282" s="1477"/>
      <c r="AD282" s="1477"/>
      <c r="AE282" s="1477"/>
      <c r="AF282" s="1477"/>
      <c r="AG282" s="1477"/>
      <c r="AH282" s="1477"/>
      <c r="AI282" s="1477"/>
      <c r="AJ282" s="1477"/>
      <c r="AK282" s="1477"/>
      <c r="AL282" s="1477"/>
      <c r="AM282" s="1477"/>
      <c r="AN282" s="1477"/>
      <c r="AO282" s="1477"/>
      <c r="AP282" s="1477"/>
      <c r="AQ282" s="1477"/>
      <c r="AR282" s="1477"/>
      <c r="AS282" s="1477"/>
      <c r="AT282" s="1477"/>
      <c r="AU282" s="1477"/>
      <c r="AV282" s="1477"/>
      <c r="AW282" s="1477"/>
      <c r="AX282" s="1477"/>
      <c r="AY282" s="1477"/>
      <c r="AZ282" s="1477"/>
    </row>
    <row r="283" spans="3:52" ht="15" customHeight="1" thickBot="1">
      <c r="C283" s="1422" t="s">
        <v>666</v>
      </c>
      <c r="D283" s="1422"/>
      <c r="E283" s="1422"/>
      <c r="F283" s="1422"/>
      <c r="G283" s="1422"/>
      <c r="H283" s="1422"/>
      <c r="I283" s="1422"/>
      <c r="J283" s="1422"/>
      <c r="K283" s="1422"/>
      <c r="L283" s="751"/>
      <c r="M283" s="751"/>
      <c r="N283" s="751"/>
      <c r="O283" s="1495">
        <f ca="1">'Admin Settings'!P86</f>
        <v>5000.04</v>
      </c>
      <c r="P283" s="1495"/>
      <c r="Q283" s="1495"/>
      <c r="R283" s="752"/>
      <c r="S283" s="752"/>
      <c r="T283" s="752"/>
      <c r="U283" s="752"/>
      <c r="V283" s="1431">
        <f ca="1">'Admin Settings'!P87</f>
        <v>5000.04</v>
      </c>
      <c r="W283" s="1431"/>
      <c r="X283" s="1431"/>
      <c r="Y283" s="751"/>
      <c r="Z283" s="751"/>
      <c r="AA283" s="739"/>
      <c r="AB283" s="728"/>
      <c r="AC283" s="1514" t="s">
        <v>673</v>
      </c>
      <c r="AD283" s="1514"/>
      <c r="AE283" s="1514"/>
      <c r="AF283" s="1514"/>
      <c r="AG283" s="1514"/>
      <c r="AH283" s="1514"/>
      <c r="AI283" s="1514"/>
      <c r="AJ283" s="1514"/>
      <c r="AK283" s="1514"/>
      <c r="AL283" s="1514"/>
      <c r="AM283" s="1514"/>
      <c r="AN283" s="1514"/>
      <c r="AO283" s="1514"/>
      <c r="AP283" s="1514"/>
      <c r="AQ283" s="1514"/>
      <c r="AR283" s="1514"/>
      <c r="AS283" s="1514"/>
      <c r="AT283" s="1514"/>
      <c r="AU283" s="1514"/>
      <c r="AV283" s="1514"/>
      <c r="AW283" s="749"/>
      <c r="AX283" s="749"/>
      <c r="AY283" s="749"/>
      <c r="AZ283" s="749"/>
    </row>
    <row r="284" spans="3:52" ht="15" customHeight="1">
      <c r="C284" s="1422" t="s">
        <v>206</v>
      </c>
      <c r="D284" s="1422"/>
      <c r="E284" s="1422"/>
      <c r="F284" s="1422"/>
      <c r="G284" s="1422"/>
      <c r="H284" s="1422"/>
      <c r="I284" s="1422"/>
      <c r="J284" s="1422"/>
      <c r="K284" s="1422"/>
      <c r="L284" s="706"/>
      <c r="M284" s="900"/>
      <c r="N284" s="900"/>
      <c r="O284" s="1530">
        <f ca="1">'Admin Settings'!K86</f>
        <v>0.75</v>
      </c>
      <c r="P284" s="1530"/>
      <c r="Q284" s="1530"/>
      <c r="R284" s="901"/>
      <c r="S284" s="901"/>
      <c r="T284" s="901"/>
      <c r="U284" s="901"/>
      <c r="V284" s="1530">
        <f ca="1">'Admin Settings'!K87</f>
        <v>0.75</v>
      </c>
      <c r="W284" s="1530"/>
      <c r="X284" s="1530"/>
      <c r="Y284" s="706"/>
      <c r="Z284" s="706"/>
      <c r="AA284" s="739"/>
      <c r="AB284" s="728"/>
      <c r="AC284" s="753"/>
      <c r="AD284" s="753"/>
      <c r="AE284" s="753"/>
      <c r="AF284" s="754"/>
      <c r="AG284" s="754"/>
      <c r="AH284" s="1515" t="s">
        <v>880</v>
      </c>
      <c r="AI284" s="1515"/>
      <c r="AJ284" s="1515"/>
      <c r="AK284" s="1515"/>
      <c r="AL284" s="1515"/>
      <c r="AM284" s="754"/>
      <c r="AN284" s="754"/>
      <c r="AO284" s="1478">
        <f>Settings!J77</f>
        <v>0.04</v>
      </c>
      <c r="AP284" s="1478"/>
      <c r="AQ284" s="1478"/>
      <c r="AR284" s="754"/>
      <c r="AS284" s="754"/>
      <c r="AT284" s="754"/>
      <c r="AU284" s="754"/>
      <c r="AV284" s="754"/>
      <c r="AW284" s="754"/>
      <c r="AX284" s="754"/>
      <c r="AY284" s="754"/>
      <c r="AZ284" s="754"/>
    </row>
    <row r="285" spans="3:52" ht="15" customHeight="1">
      <c r="C285" s="1422" t="s">
        <v>672</v>
      </c>
      <c r="D285" s="1422"/>
      <c r="E285" s="1422"/>
      <c r="F285" s="1422"/>
      <c r="G285" s="1422"/>
      <c r="H285" s="1422"/>
      <c r="I285" s="1422"/>
      <c r="J285" s="1422"/>
      <c r="K285" s="1422"/>
      <c r="L285" s="1422"/>
      <c r="M285" s="1422"/>
      <c r="O285" s="1504" t="str">
        <f>""&amp;'Admin Settings'!J86&amp;" years"</f>
        <v>15 years</v>
      </c>
      <c r="P285" s="1504"/>
      <c r="Q285" s="1504"/>
      <c r="R285" s="1504"/>
      <c r="S285" s="1121"/>
      <c r="T285" s="1121"/>
      <c r="U285" s="1121"/>
      <c r="V285" s="1504" t="str">
        <f>""&amp;'Admin Settings'!J87&amp;" years"</f>
        <v>15 years</v>
      </c>
      <c r="W285" s="1504"/>
      <c r="X285" s="1504"/>
      <c r="Y285" s="1504"/>
      <c r="Z285" s="1504"/>
      <c r="AA285" s="739"/>
      <c r="AB285" s="728"/>
      <c r="AC285" s="706"/>
      <c r="AD285" s="706"/>
      <c r="AE285" s="706"/>
      <c r="AF285" s="706"/>
      <c r="AG285" s="706"/>
      <c r="AH285" s="706"/>
      <c r="AI285" s="1516" t="s">
        <v>881</v>
      </c>
      <c r="AJ285" s="1516"/>
      <c r="AK285" s="1516"/>
      <c r="AL285" s="1516"/>
      <c r="AM285" s="706"/>
      <c r="AN285" s="706"/>
      <c r="AO285" s="1513">
        <f>Settings!N77</f>
        <v>7.0000000000000007E-2</v>
      </c>
      <c r="AP285" s="1513"/>
      <c r="AQ285" s="1513"/>
      <c r="AR285" s="1090"/>
      <c r="AS285" s="706"/>
      <c r="AT285" s="706"/>
      <c r="AU285" s="706"/>
      <c r="AV285" s="706"/>
      <c r="AW285" s="706"/>
      <c r="AX285" s="706"/>
      <c r="AY285" s="1091"/>
      <c r="AZ285" s="1091"/>
    </row>
    <row r="286" spans="3:52" ht="15" customHeight="1">
      <c r="C286" s="1422" t="s">
        <v>668</v>
      </c>
      <c r="D286" s="1422"/>
      <c r="E286" s="1422"/>
      <c r="F286" s="1422"/>
      <c r="G286" s="1422"/>
      <c r="H286" s="1422"/>
      <c r="I286" s="1422"/>
      <c r="J286" s="1422"/>
      <c r="K286" s="1422"/>
      <c r="L286" s="1422"/>
      <c r="M286" s="751"/>
      <c r="N286" s="751"/>
      <c r="O286" s="1500" t="str">
        <f>IF('Admin Settings'!L86=0,"Nil",'Admin Settings'!L86)</f>
        <v>Nil</v>
      </c>
      <c r="P286" s="1504"/>
      <c r="Q286" s="1504"/>
      <c r="R286" s="751"/>
      <c r="S286" s="751"/>
      <c r="T286" s="751"/>
      <c r="U286" s="751"/>
      <c r="V286" s="1534" t="str">
        <f>IF('Admin Settings'!L87=0,"Nil",'Admin Settings'!L87)</f>
        <v>Nil</v>
      </c>
      <c r="W286" s="1534"/>
      <c r="X286" s="1534"/>
      <c r="Y286" s="1534"/>
      <c r="Z286" s="1534"/>
      <c r="AA286" s="739"/>
      <c r="AB286" s="728"/>
      <c r="AM286" s="692"/>
      <c r="AN286" s="692"/>
      <c r="AO286" s="692"/>
      <c r="AP286" s="692"/>
      <c r="AQ286" s="692"/>
      <c r="AR286" s="692"/>
    </row>
    <row r="287" spans="3:52" ht="15" customHeight="1" thickBot="1">
      <c r="C287" s="1422" t="s">
        <v>160</v>
      </c>
      <c r="D287" s="1422"/>
      <c r="E287" s="1422"/>
      <c r="F287" s="1422"/>
      <c r="G287" s="1422"/>
      <c r="H287" s="1422"/>
      <c r="I287" s="1422"/>
      <c r="J287" s="1422"/>
      <c r="K287" s="1422"/>
      <c r="L287" s="1422"/>
      <c r="M287" s="701"/>
      <c r="N287" s="701"/>
      <c r="O287" s="1490" t="str">
        <f>'Admin Settings'!O86</f>
        <v>Monthly</v>
      </c>
      <c r="P287" s="1520"/>
      <c r="Q287" s="1520"/>
      <c r="R287" s="750"/>
      <c r="S287" s="750"/>
      <c r="T287" s="750"/>
      <c r="U287" s="750"/>
      <c r="V287" s="1505" t="str">
        <f>'Admin Settings'!O87</f>
        <v>Monthly</v>
      </c>
      <c r="W287" s="1455"/>
      <c r="X287" s="1455"/>
      <c r="Y287" s="1455"/>
      <c r="Z287" s="750"/>
      <c r="AA287" s="739"/>
      <c r="AB287" s="728"/>
      <c r="AC287" s="1514" t="s">
        <v>674</v>
      </c>
      <c r="AD287" s="1514"/>
      <c r="AE287" s="1514"/>
      <c r="AF287" s="1514"/>
      <c r="AG287" s="1514"/>
      <c r="AH287" s="1514"/>
      <c r="AI287" s="1514"/>
      <c r="AJ287" s="1514"/>
      <c r="AK287" s="1514"/>
      <c r="AL287" s="1514"/>
      <c r="AM287" s="1514"/>
      <c r="AN287" s="1514"/>
      <c r="AO287" s="1514"/>
      <c r="AP287" s="1514"/>
      <c r="AQ287" s="1514"/>
      <c r="AR287" s="749"/>
      <c r="AS287" s="749"/>
      <c r="AT287" s="749"/>
      <c r="AU287" s="749"/>
      <c r="AV287" s="749"/>
      <c r="AW287" s="749"/>
      <c r="AX287" s="749"/>
      <c r="AY287" s="749"/>
      <c r="AZ287" s="749"/>
    </row>
    <row r="288" spans="3:52" ht="15" customHeight="1">
      <c r="C288" s="1422" t="s">
        <v>669</v>
      </c>
      <c r="D288" s="1422"/>
      <c r="E288" s="1422"/>
      <c r="F288" s="1422"/>
      <c r="G288" s="1422"/>
      <c r="H288" s="1422"/>
      <c r="I288" s="1422"/>
      <c r="J288" s="1422"/>
      <c r="K288" s="1422"/>
      <c r="L288" s="1422"/>
      <c r="M288" s="751"/>
      <c r="N288" s="751"/>
      <c r="O288" s="1500">
        <f>'Admin Settings'!M86</f>
        <v>2.1999999999999999E-2</v>
      </c>
      <c r="P288" s="1504"/>
      <c r="Q288" s="1504"/>
      <c r="R288" s="1118"/>
      <c r="S288" s="1118"/>
      <c r="T288" s="1118"/>
      <c r="U288" s="1118"/>
      <c r="V288" s="1500">
        <f>'Admin Settings'!M87</f>
        <v>2.1999999999999999E-2</v>
      </c>
      <c r="W288" s="1504"/>
      <c r="X288" s="1504"/>
      <c r="Y288" s="751"/>
      <c r="Z288" s="751"/>
      <c r="AA288" s="739"/>
      <c r="AB288" s="728"/>
      <c r="AC288" s="1533" t="s">
        <v>556</v>
      </c>
      <c r="AD288" s="1533"/>
      <c r="AE288" s="1533"/>
      <c r="AF288" s="1533"/>
      <c r="AG288" s="1533"/>
      <c r="AH288" s="1533"/>
      <c r="AI288" s="1533"/>
      <c r="AJ288" s="1533"/>
      <c r="AK288" s="1533"/>
      <c r="AL288" s="750"/>
      <c r="AM288" s="750"/>
      <c r="AN288" s="750"/>
      <c r="AO288" s="1503">
        <f>Settings!J67</f>
        <v>0</v>
      </c>
      <c r="AP288" s="1503"/>
      <c r="AQ288" s="1503"/>
      <c r="AR288" s="750"/>
      <c r="AS288" s="750"/>
      <c r="AT288" s="750"/>
      <c r="AU288" s="750"/>
      <c r="AV288" s="750"/>
      <c r="AW288" s="750"/>
      <c r="AX288" s="750"/>
      <c r="AY288" s="750"/>
      <c r="AZ288" s="750"/>
    </row>
    <row r="289" spans="3:52" ht="15" customHeight="1">
      <c r="C289" s="1422" t="s">
        <v>670</v>
      </c>
      <c r="D289" s="1422"/>
      <c r="E289" s="1422"/>
      <c r="F289" s="1422"/>
      <c r="G289" s="1422"/>
      <c r="H289" s="1422"/>
      <c r="I289" s="1422"/>
      <c r="J289" s="1422"/>
      <c r="K289" s="1422"/>
      <c r="L289" s="1422"/>
      <c r="M289" s="1422"/>
      <c r="N289" s="701"/>
      <c r="O289" s="1502">
        <f>'Admin Settings'!N86</f>
        <v>0</v>
      </c>
      <c r="P289" s="1502"/>
      <c r="Q289" s="1502"/>
      <c r="R289" s="755"/>
      <c r="S289" s="755"/>
      <c r="T289" s="755"/>
      <c r="U289" s="755"/>
      <c r="V289" s="1502">
        <f>'Admin Settings'!N87</f>
        <v>0</v>
      </c>
      <c r="W289" s="1502"/>
      <c r="X289" s="1502"/>
      <c r="Y289" s="750"/>
      <c r="Z289" s="750"/>
      <c r="AA289" s="739"/>
      <c r="AB289" s="728"/>
      <c r="AC289" s="1422" t="s">
        <v>555</v>
      </c>
      <c r="AD289" s="1422"/>
      <c r="AE289" s="1422"/>
      <c r="AF289" s="1422"/>
      <c r="AG289" s="1422"/>
      <c r="AH289" s="1422"/>
      <c r="AI289" s="1422"/>
      <c r="AJ289" s="1422"/>
      <c r="AK289" s="1422"/>
      <c r="AL289" s="751"/>
      <c r="AM289" s="751"/>
      <c r="AN289" s="751"/>
      <c r="AO289" s="756" t="str">
        <f>Settings!N67</f>
        <v>No</v>
      </c>
      <c r="AP289" s="751"/>
      <c r="AQ289" s="751"/>
      <c r="AR289" s="751"/>
      <c r="AS289" s="751"/>
      <c r="AT289" s="751"/>
      <c r="AU289" s="751"/>
      <c r="AV289" s="751"/>
      <c r="AW289" s="751"/>
      <c r="AX289" s="751"/>
      <c r="AY289" s="751"/>
      <c r="AZ289" s="751"/>
    </row>
    <row r="290" spans="3:52" ht="15" customHeight="1">
      <c r="AA290" s="739"/>
      <c r="AB290" s="728"/>
      <c r="AC290" s="1422" t="s">
        <v>552</v>
      </c>
      <c r="AD290" s="1422"/>
      <c r="AE290" s="1422"/>
      <c r="AF290" s="1422"/>
      <c r="AG290" s="1422"/>
      <c r="AH290" s="1422"/>
      <c r="AI290" s="1422"/>
      <c r="AJ290" s="1422"/>
      <c r="AK290" s="1422"/>
      <c r="AL290" s="1422"/>
      <c r="AM290" s="1422"/>
      <c r="AN290" s="1422"/>
      <c r="AO290" s="1505">
        <f>Settings!J69</f>
        <v>5.0000000000000001E-3</v>
      </c>
      <c r="AP290" s="1505"/>
      <c r="AQ290" s="1505"/>
      <c r="AR290" s="750"/>
      <c r="AS290" s="750"/>
      <c r="AT290" s="750"/>
      <c r="AU290" s="750"/>
      <c r="AV290" s="750"/>
      <c r="AW290" s="750"/>
      <c r="AX290" s="750"/>
      <c r="AY290" s="750"/>
      <c r="AZ290" s="750"/>
    </row>
    <row r="291" spans="3:52" ht="15" customHeight="1">
      <c r="AA291" s="739"/>
      <c r="AB291" s="728"/>
      <c r="AC291" s="1422" t="s">
        <v>554</v>
      </c>
      <c r="AD291" s="1422"/>
      <c r="AE291" s="1422"/>
      <c r="AF291" s="1422"/>
      <c r="AG291" s="1422"/>
      <c r="AH291" s="1422"/>
      <c r="AI291" s="1422"/>
      <c r="AJ291" s="1422"/>
      <c r="AK291" s="1422"/>
      <c r="AL291" s="1422"/>
      <c r="AM291" s="1422"/>
      <c r="AN291" s="751"/>
      <c r="AO291" s="1505">
        <f>Settings!J73</f>
        <v>3.5000000000000001E-3</v>
      </c>
      <c r="AP291" s="1505"/>
      <c r="AQ291" s="1505"/>
      <c r="AR291" s="751"/>
      <c r="AS291" s="751"/>
      <c r="AT291" s="751"/>
      <c r="AU291" s="751"/>
      <c r="AV291" s="751"/>
      <c r="AW291" s="751"/>
      <c r="AX291" s="751"/>
      <c r="AY291" s="751"/>
      <c r="AZ291" s="751"/>
    </row>
    <row r="292" spans="3:52" ht="15" customHeight="1">
      <c r="D292" s="728"/>
      <c r="E292" s="728"/>
      <c r="F292" s="728"/>
      <c r="G292" s="728"/>
      <c r="H292" s="728"/>
      <c r="I292" s="728"/>
      <c r="J292" s="728"/>
      <c r="K292" s="728"/>
      <c r="L292" s="728"/>
      <c r="M292" s="728"/>
      <c r="N292" s="728"/>
      <c r="O292" s="728"/>
      <c r="P292" s="728"/>
      <c r="Q292" s="728"/>
      <c r="R292" s="728"/>
      <c r="S292" s="728"/>
      <c r="T292" s="728"/>
      <c r="U292" s="728"/>
      <c r="V292" s="728"/>
      <c r="W292" s="728"/>
      <c r="X292" s="728"/>
      <c r="Y292" s="728"/>
      <c r="Z292" s="728"/>
      <c r="AA292" s="739"/>
      <c r="AB292" s="728"/>
      <c r="AC292" s="1422" t="s">
        <v>553</v>
      </c>
      <c r="AD292" s="1422"/>
      <c r="AE292" s="1422"/>
      <c r="AF292" s="1422"/>
      <c r="AG292" s="1422"/>
      <c r="AH292" s="1422"/>
      <c r="AI292" s="1422"/>
      <c r="AJ292" s="1422"/>
      <c r="AK292" s="1422"/>
      <c r="AL292" s="1422"/>
      <c r="AM292" s="1422"/>
      <c r="AN292" s="1422"/>
      <c r="AO292" s="1505">
        <f>Settings!J71</f>
        <v>8.0000000000000002E-3</v>
      </c>
      <c r="AP292" s="1505"/>
      <c r="AQ292" s="1505"/>
      <c r="AR292" s="750"/>
      <c r="AS292" s="750"/>
      <c r="AT292" s="750"/>
      <c r="AU292" s="750"/>
      <c r="AV292" s="750"/>
      <c r="AW292" s="750"/>
      <c r="AX292" s="750"/>
      <c r="AY292" s="750"/>
      <c r="AZ292" s="750"/>
    </row>
    <row r="293" spans="3:52" ht="15" customHeight="1">
      <c r="C293" s="757" t="s">
        <v>667</v>
      </c>
      <c r="Z293" s="692"/>
      <c r="AA293" s="739"/>
    </row>
    <row r="294" spans="3:52" ht="15" customHeight="1">
      <c r="C294" s="714"/>
      <c r="D294" s="714"/>
      <c r="E294" s="714"/>
      <c r="F294" s="714"/>
      <c r="G294" s="714"/>
      <c r="H294" s="714"/>
      <c r="I294" s="714"/>
      <c r="J294" s="714"/>
      <c r="K294" s="714"/>
      <c r="L294" s="714"/>
      <c r="M294" s="714"/>
      <c r="N294" s="714"/>
      <c r="O294" s="714"/>
      <c r="P294" s="714"/>
      <c r="Q294" s="714"/>
      <c r="R294" s="714"/>
      <c r="S294" s="714"/>
      <c r="T294" s="714"/>
      <c r="U294" s="714"/>
      <c r="V294" s="714"/>
      <c r="W294" s="714"/>
      <c r="X294" s="714"/>
      <c r="Y294" s="714"/>
      <c r="Z294" s="715"/>
      <c r="AA294" s="730"/>
      <c r="AB294" s="714"/>
      <c r="AC294" s="714"/>
      <c r="AD294" s="714"/>
      <c r="AE294" s="714"/>
      <c r="AF294" s="714"/>
      <c r="AG294" s="714"/>
      <c r="AH294" s="714"/>
      <c r="AI294" s="714"/>
      <c r="AJ294" s="714"/>
      <c r="AK294" s="714"/>
      <c r="AL294" s="714"/>
      <c r="AM294" s="714"/>
      <c r="AN294" s="714"/>
      <c r="AO294" s="714"/>
      <c r="AP294" s="714"/>
      <c r="AQ294" s="714"/>
      <c r="AR294" s="714"/>
      <c r="AS294" s="714"/>
      <c r="AT294" s="716" t="str">
        <f>AT42</f>
        <v/>
      </c>
      <c r="AU294" s="714"/>
      <c r="AV294" s="1443" t="s">
        <v>1297</v>
      </c>
      <c r="AW294" s="1443"/>
      <c r="AX294" s="1443"/>
      <c r="AY294" s="1443"/>
      <c r="AZ294" s="1443"/>
    </row>
    <row r="295" spans="3:52" ht="15" customHeight="1"/>
    <row r="296" spans="3:52" ht="15" customHeight="1"/>
    <row r="297" spans="3:52" ht="15" customHeight="1"/>
    <row r="298" spans="3:52" ht="15" customHeight="1"/>
    <row r="299" spans="3:52" ht="15" customHeight="1"/>
    <row r="300" spans="3:52" ht="15" customHeight="1"/>
    <row r="301" spans="3:52" ht="15" customHeight="1"/>
    <row r="302" spans="3:52" ht="15" customHeight="1"/>
    <row r="303" spans="3:52" ht="15" customHeight="1"/>
    <row r="304" spans="3:52"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sheetData>
  <sheetProtection password="FBCA" sheet="1" objects="1" scenarios="1"/>
  <mergeCells count="676">
    <mergeCell ref="C275:K275"/>
    <mergeCell ref="C274:L274"/>
    <mergeCell ref="C273:S273"/>
    <mergeCell ref="C279:K279"/>
    <mergeCell ref="AC290:AN290"/>
    <mergeCell ref="C134:G135"/>
    <mergeCell ref="H141:J141"/>
    <mergeCell ref="AC291:AM291"/>
    <mergeCell ref="AC288:AK288"/>
    <mergeCell ref="O281:T281"/>
    <mergeCell ref="V281:Z281"/>
    <mergeCell ref="C282:J282"/>
    <mergeCell ref="C283:K283"/>
    <mergeCell ref="C284:K284"/>
    <mergeCell ref="C285:M285"/>
    <mergeCell ref="C286:L286"/>
    <mergeCell ref="C287:L287"/>
    <mergeCell ref="O288:Q288"/>
    <mergeCell ref="V286:Z286"/>
    <mergeCell ref="V285:Z285"/>
    <mergeCell ref="V282:Z282"/>
    <mergeCell ref="O282:T282"/>
    <mergeCell ref="O286:Q286"/>
    <mergeCell ref="O284:Q284"/>
    <mergeCell ref="V283:X283"/>
    <mergeCell ref="C288:L288"/>
    <mergeCell ref="C289:M289"/>
    <mergeCell ref="AC266:AM266"/>
    <mergeCell ref="AC267:AL267"/>
    <mergeCell ref="L31:Q31"/>
    <mergeCell ref="C32:G32"/>
    <mergeCell ref="C33:I33"/>
    <mergeCell ref="L29:O29"/>
    <mergeCell ref="O287:Q287"/>
    <mergeCell ref="C276:K276"/>
    <mergeCell ref="O279:Q279"/>
    <mergeCell ref="C278:K278"/>
    <mergeCell ref="C277:K277"/>
    <mergeCell ref="AH280:AL280"/>
    <mergeCell ref="AC283:AV283"/>
    <mergeCell ref="K178:M179"/>
    <mergeCell ref="K177:M177"/>
    <mergeCell ref="W163:Y164"/>
    <mergeCell ref="V284:X284"/>
    <mergeCell ref="W180:Y181"/>
    <mergeCell ref="O267:Q267"/>
    <mergeCell ref="C229:AZ236"/>
    <mergeCell ref="C246:AZ249"/>
    <mergeCell ref="L28:Z28"/>
    <mergeCell ref="L32:O32"/>
    <mergeCell ref="L33:O33"/>
    <mergeCell ref="T32:X32"/>
    <mergeCell ref="K161:M162"/>
    <mergeCell ref="K160:M160"/>
    <mergeCell ref="C127:G128"/>
    <mergeCell ref="H127:J128"/>
    <mergeCell ref="K127:M128"/>
    <mergeCell ref="C125:G126"/>
    <mergeCell ref="K125:M126"/>
    <mergeCell ref="C104:G106"/>
    <mergeCell ref="H104:J106"/>
    <mergeCell ref="K104:M106"/>
    <mergeCell ref="K141:M141"/>
    <mergeCell ref="H132:J133"/>
    <mergeCell ref="H142:J143"/>
    <mergeCell ref="C132:G133"/>
    <mergeCell ref="C161:G162"/>
    <mergeCell ref="C146:G147"/>
    <mergeCell ref="Q141:S141"/>
    <mergeCell ref="N131:P131"/>
    <mergeCell ref="N125:P126"/>
    <mergeCell ref="Q125:S126"/>
    <mergeCell ref="AE2:AJ3"/>
    <mergeCell ref="AE4:BF7"/>
    <mergeCell ref="C178:G179"/>
    <mergeCell ref="N177:P177"/>
    <mergeCell ref="Q177:S177"/>
    <mergeCell ref="T177:V177"/>
    <mergeCell ref="W177:Y177"/>
    <mergeCell ref="W170:Y171"/>
    <mergeCell ref="H170:J171"/>
    <mergeCell ref="K170:M171"/>
    <mergeCell ref="N170:P171"/>
    <mergeCell ref="Q170:S171"/>
    <mergeCell ref="T170:V171"/>
    <mergeCell ref="H177:J177"/>
    <mergeCell ref="H178:J179"/>
    <mergeCell ref="L4:AA4"/>
    <mergeCell ref="AH11:AZ11"/>
    <mergeCell ref="AC177:AE177"/>
    <mergeCell ref="AI168:AK169"/>
    <mergeCell ref="Z178:AB179"/>
    <mergeCell ref="T33:X33"/>
    <mergeCell ref="X29:Z29"/>
    <mergeCell ref="C28:H28"/>
    <mergeCell ref="C29:J29"/>
    <mergeCell ref="AC272:AK272"/>
    <mergeCell ref="AC274:AR274"/>
    <mergeCell ref="AH275:AL275"/>
    <mergeCell ref="AH276:AL276"/>
    <mergeCell ref="AC278:AY278"/>
    <mergeCell ref="AH279:AL279"/>
    <mergeCell ref="O270:Q270"/>
    <mergeCell ref="V270:X270"/>
    <mergeCell ref="T182:V183"/>
    <mergeCell ref="W182:Y183"/>
    <mergeCell ref="N182:P183"/>
    <mergeCell ref="Q182:S183"/>
    <mergeCell ref="AC163:AE164"/>
    <mergeCell ref="C168:G169"/>
    <mergeCell ref="C163:G164"/>
    <mergeCell ref="N167:P167"/>
    <mergeCell ref="AC182:AE183"/>
    <mergeCell ref="C170:G171"/>
    <mergeCell ref="C180:G181"/>
    <mergeCell ref="H180:J181"/>
    <mergeCell ref="H167:J167"/>
    <mergeCell ref="Q163:S164"/>
    <mergeCell ref="N163:P164"/>
    <mergeCell ref="Z170:AB171"/>
    <mergeCell ref="W167:Y167"/>
    <mergeCell ref="Z167:AB167"/>
    <mergeCell ref="K168:M169"/>
    <mergeCell ref="W168:Y169"/>
    <mergeCell ref="N168:P169"/>
    <mergeCell ref="Q168:S169"/>
    <mergeCell ref="T168:V169"/>
    <mergeCell ref="Q167:S167"/>
    <mergeCell ref="C182:G183"/>
    <mergeCell ref="H182:J183"/>
    <mergeCell ref="K182:M183"/>
    <mergeCell ref="H168:J169"/>
    <mergeCell ref="N180:P181"/>
    <mergeCell ref="Q180:S181"/>
    <mergeCell ref="H163:J164"/>
    <mergeCell ref="W178:Y179"/>
    <mergeCell ref="K167:M167"/>
    <mergeCell ref="T167:V167"/>
    <mergeCell ref="N178:P179"/>
    <mergeCell ref="Q178:S179"/>
    <mergeCell ref="T180:V181"/>
    <mergeCell ref="T178:V179"/>
    <mergeCell ref="AF168:AH169"/>
    <mergeCell ref="Z168:AB169"/>
    <mergeCell ref="Q142:S143"/>
    <mergeCell ref="N142:P143"/>
    <mergeCell ref="N144:P145"/>
    <mergeCell ref="Q144:S145"/>
    <mergeCell ref="N160:P160"/>
    <mergeCell ref="C144:G145"/>
    <mergeCell ref="K142:M143"/>
    <mergeCell ref="K144:M145"/>
    <mergeCell ref="H160:J160"/>
    <mergeCell ref="H144:J145"/>
    <mergeCell ref="AC146:AE147"/>
    <mergeCell ref="AC168:AE169"/>
    <mergeCell ref="AF142:AH143"/>
    <mergeCell ref="T144:V145"/>
    <mergeCell ref="W160:Y160"/>
    <mergeCell ref="Z160:AB160"/>
    <mergeCell ref="AC142:AE143"/>
    <mergeCell ref="W142:Y143"/>
    <mergeCell ref="T146:V147"/>
    <mergeCell ref="AC160:AE160"/>
    <mergeCell ref="C142:G143"/>
    <mergeCell ref="T142:V143"/>
    <mergeCell ref="AI163:AK164"/>
    <mergeCell ref="AL163:AN164"/>
    <mergeCell ref="T160:V160"/>
    <mergeCell ref="T163:V164"/>
    <mergeCell ref="H146:J147"/>
    <mergeCell ref="K146:M147"/>
    <mergeCell ref="N146:P147"/>
    <mergeCell ref="Q146:S147"/>
    <mergeCell ref="Z163:AB164"/>
    <mergeCell ref="Z161:AB162"/>
    <mergeCell ref="W161:Y162"/>
    <mergeCell ref="AC161:AE162"/>
    <mergeCell ref="Q160:S160"/>
    <mergeCell ref="AI146:AK147"/>
    <mergeCell ref="AL161:AN162"/>
    <mergeCell ref="Z146:AB147"/>
    <mergeCell ref="AI160:AK160"/>
    <mergeCell ref="T161:V162"/>
    <mergeCell ref="AF163:AH164"/>
    <mergeCell ref="N161:P162"/>
    <mergeCell ref="Q161:S162"/>
    <mergeCell ref="H161:J162"/>
    <mergeCell ref="K163:M164"/>
    <mergeCell ref="AL160:AN160"/>
    <mergeCell ref="Q131:S131"/>
    <mergeCell ref="Q134:S135"/>
    <mergeCell ref="H131:J131"/>
    <mergeCell ref="K131:M131"/>
    <mergeCell ref="Q132:S133"/>
    <mergeCell ref="K134:M135"/>
    <mergeCell ref="K132:M133"/>
    <mergeCell ref="H134:J135"/>
    <mergeCell ref="N132:P133"/>
    <mergeCell ref="AO292:AQ292"/>
    <mergeCell ref="AO290:AQ290"/>
    <mergeCell ref="AO280:AQ280"/>
    <mergeCell ref="AO275:AQ275"/>
    <mergeCell ref="AO285:AQ285"/>
    <mergeCell ref="AO291:AQ291"/>
    <mergeCell ref="AO267:AR267"/>
    <mergeCell ref="AR170:AT171"/>
    <mergeCell ref="AO177:AQ177"/>
    <mergeCell ref="AR177:AT177"/>
    <mergeCell ref="AO178:AQ179"/>
    <mergeCell ref="AO170:AQ171"/>
    <mergeCell ref="AC287:AQ287"/>
    <mergeCell ref="AC292:AN292"/>
    <mergeCell ref="AH284:AL284"/>
    <mergeCell ref="AI285:AL285"/>
    <mergeCell ref="AL178:AN179"/>
    <mergeCell ref="AL180:AN181"/>
    <mergeCell ref="AR180:AT181"/>
    <mergeCell ref="AI178:AK179"/>
    <mergeCell ref="C237:AZ238"/>
    <mergeCell ref="C240:AZ241"/>
    <mergeCell ref="C242:AZ244"/>
    <mergeCell ref="AC170:AE171"/>
    <mergeCell ref="V289:X289"/>
    <mergeCell ref="AO288:AQ288"/>
    <mergeCell ref="V288:X288"/>
    <mergeCell ref="AO270:AS271"/>
    <mergeCell ref="Z182:AB183"/>
    <mergeCell ref="AC289:AK289"/>
    <mergeCell ref="O289:Q289"/>
    <mergeCell ref="O285:R285"/>
    <mergeCell ref="V287:Y287"/>
    <mergeCell ref="AO276:AQ276"/>
    <mergeCell ref="O283:Q283"/>
    <mergeCell ref="O278:Q278"/>
    <mergeCell ref="O276:Q276"/>
    <mergeCell ref="V271:X271"/>
    <mergeCell ref="O277:Q277"/>
    <mergeCell ref="O275:Q275"/>
    <mergeCell ref="O274:Q274"/>
    <mergeCell ref="C266:P266"/>
    <mergeCell ref="AO279:AQ279"/>
    <mergeCell ref="AI182:AK183"/>
    <mergeCell ref="C269:I269"/>
    <mergeCell ref="AL182:AN183"/>
    <mergeCell ref="C192:AZ214"/>
    <mergeCell ref="AV276:AX276"/>
    <mergeCell ref="AX167:AZ167"/>
    <mergeCell ref="AX168:AZ169"/>
    <mergeCell ref="AX170:AZ171"/>
    <mergeCell ref="AX161:AZ162"/>
    <mergeCell ref="AR168:AT169"/>
    <mergeCell ref="AU182:AW183"/>
    <mergeCell ref="AO269:AS269"/>
    <mergeCell ref="AX177:AZ177"/>
    <mergeCell ref="AO268:AT268"/>
    <mergeCell ref="AV268:AZ268"/>
    <mergeCell ref="AX163:AZ164"/>
    <mergeCell ref="AR178:AT179"/>
    <mergeCell ref="AV266:AZ266"/>
    <mergeCell ref="AO167:AQ167"/>
    <mergeCell ref="AR167:AT167"/>
    <mergeCell ref="AO163:AQ164"/>
    <mergeCell ref="AR163:AT164"/>
    <mergeCell ref="AT191:AZ191"/>
    <mergeCell ref="C250:AZ252"/>
    <mergeCell ref="AV222:AZ222"/>
    <mergeCell ref="AF167:AH167"/>
    <mergeCell ref="AL168:AN169"/>
    <mergeCell ref="AL177:AN177"/>
    <mergeCell ref="Z177:AB177"/>
    <mergeCell ref="AU167:AW167"/>
    <mergeCell ref="AO180:AQ181"/>
    <mergeCell ref="AO168:AQ169"/>
    <mergeCell ref="AV275:AX275"/>
    <mergeCell ref="AX180:AZ181"/>
    <mergeCell ref="AV267:AY267"/>
    <mergeCell ref="AC172:AZ173"/>
    <mergeCell ref="AL167:AN167"/>
    <mergeCell ref="AC167:AE167"/>
    <mergeCell ref="AL170:AN171"/>
    <mergeCell ref="AV270:AZ271"/>
    <mergeCell ref="AX178:AZ179"/>
    <mergeCell ref="AU177:AW177"/>
    <mergeCell ref="AU178:AW179"/>
    <mergeCell ref="AU170:AW171"/>
    <mergeCell ref="AC178:AE179"/>
    <mergeCell ref="AF178:AH179"/>
    <mergeCell ref="AI167:AK167"/>
    <mergeCell ref="AF170:AH171"/>
    <mergeCell ref="AI170:AK171"/>
    <mergeCell ref="AO272:AS272"/>
    <mergeCell ref="AV272:AZ272"/>
    <mergeCell ref="AO182:AQ183"/>
    <mergeCell ref="AR182:AT183"/>
    <mergeCell ref="AX182:AZ183"/>
    <mergeCell ref="AV258:AZ258"/>
    <mergeCell ref="AT263:AZ263"/>
    <mergeCell ref="AV186:AZ186"/>
    <mergeCell ref="AT227:AZ227"/>
    <mergeCell ref="AU180:AW181"/>
    <mergeCell ref="C270:M270"/>
    <mergeCell ref="C271:J271"/>
    <mergeCell ref="O271:Q271"/>
    <mergeCell ref="V269:Z269"/>
    <mergeCell ref="AV269:AZ269"/>
    <mergeCell ref="Z180:AB181"/>
    <mergeCell ref="AC180:AE181"/>
    <mergeCell ref="AF182:AH183"/>
    <mergeCell ref="AC270:AJ271"/>
    <mergeCell ref="AF180:AH181"/>
    <mergeCell ref="AI180:AK181"/>
    <mergeCell ref="K180:M181"/>
    <mergeCell ref="O269:S269"/>
    <mergeCell ref="C267:M267"/>
    <mergeCell ref="AO266:AS266"/>
    <mergeCell ref="AC268:AL268"/>
    <mergeCell ref="AC269:AL269"/>
    <mergeCell ref="AU161:AW162"/>
    <mergeCell ref="AU160:AW160"/>
    <mergeCell ref="AR144:AT145"/>
    <mergeCell ref="AO160:AQ160"/>
    <mergeCell ref="AR160:AT160"/>
    <mergeCell ref="AO144:AQ145"/>
    <mergeCell ref="AO146:AQ147"/>
    <mergeCell ref="AX160:AZ160"/>
    <mergeCell ref="AU146:AW147"/>
    <mergeCell ref="AR146:AT147"/>
    <mergeCell ref="AO161:AQ162"/>
    <mergeCell ref="AX146:AZ147"/>
    <mergeCell ref="AR161:AT162"/>
    <mergeCell ref="AU144:AW145"/>
    <mergeCell ref="AI161:AK162"/>
    <mergeCell ref="W144:Y145"/>
    <mergeCell ref="Z141:AB141"/>
    <mergeCell ref="AC141:AE141"/>
    <mergeCell ref="Z144:AB145"/>
    <mergeCell ref="AC144:AE145"/>
    <mergeCell ref="Z142:AB143"/>
    <mergeCell ref="AF160:AH160"/>
    <mergeCell ref="W146:Y147"/>
    <mergeCell ref="W141:Y141"/>
    <mergeCell ref="AF161:AH162"/>
    <mergeCell ref="CU121:CW122"/>
    <mergeCell ref="AU131:AW131"/>
    <mergeCell ref="AR127:AT128"/>
    <mergeCell ref="AX127:AZ128"/>
    <mergeCell ref="AU125:AW126"/>
    <mergeCell ref="AU134:AW135"/>
    <mergeCell ref="AR124:AT124"/>
    <mergeCell ref="AU124:AW124"/>
    <mergeCell ref="AX125:AZ126"/>
    <mergeCell ref="AX131:AZ131"/>
    <mergeCell ref="AU127:AW128"/>
    <mergeCell ref="AU132:AW133"/>
    <mergeCell ref="AR131:AT131"/>
    <mergeCell ref="AR134:AT135"/>
    <mergeCell ref="AR132:AT133"/>
    <mergeCell ref="AR125:AT126"/>
    <mergeCell ref="Q98:S100"/>
    <mergeCell ref="T98:V100"/>
    <mergeCell ref="AC104:AE106"/>
    <mergeCell ref="C108:AZ109"/>
    <mergeCell ref="AX104:AZ106"/>
    <mergeCell ref="AX98:AZ100"/>
    <mergeCell ref="AU98:AW100"/>
    <mergeCell ref="AR98:AT100"/>
    <mergeCell ref="AF104:AH106"/>
    <mergeCell ref="AU104:AW106"/>
    <mergeCell ref="AX144:AZ145"/>
    <mergeCell ref="AV294:AZ294"/>
    <mergeCell ref="AV114:AZ114"/>
    <mergeCell ref="AT119:AZ119"/>
    <mergeCell ref="AV150:AZ150"/>
    <mergeCell ref="AT155:AZ155"/>
    <mergeCell ref="AX124:AZ124"/>
    <mergeCell ref="AX134:AZ135"/>
    <mergeCell ref="AX132:AZ133"/>
    <mergeCell ref="AU168:AW169"/>
    <mergeCell ref="AU163:AW164"/>
    <mergeCell ref="AV279:AX279"/>
    <mergeCell ref="AX141:AZ141"/>
    <mergeCell ref="AV280:AX280"/>
    <mergeCell ref="AC281:AZ282"/>
    <mergeCell ref="AO284:AQ284"/>
    <mergeCell ref="AF177:AH177"/>
    <mergeCell ref="AI177:AK177"/>
    <mergeCell ref="AO125:AQ126"/>
    <mergeCell ref="AC125:AE126"/>
    <mergeCell ref="AI124:AK124"/>
    <mergeCell ref="AL131:AN131"/>
    <mergeCell ref="AO131:AQ131"/>
    <mergeCell ref="AO141:AQ141"/>
    <mergeCell ref="AR104:AT106"/>
    <mergeCell ref="C101:G103"/>
    <mergeCell ref="Q104:S106"/>
    <mergeCell ref="H124:J124"/>
    <mergeCell ref="K124:M124"/>
    <mergeCell ref="N124:P124"/>
    <mergeCell ref="Q124:S124"/>
    <mergeCell ref="AO124:AQ124"/>
    <mergeCell ref="AX142:AZ143"/>
    <mergeCell ref="AR141:AT141"/>
    <mergeCell ref="W101:Y103"/>
    <mergeCell ref="H101:J103"/>
    <mergeCell ref="K101:M103"/>
    <mergeCell ref="T101:V103"/>
    <mergeCell ref="Q101:S103"/>
    <mergeCell ref="AI104:AK106"/>
    <mergeCell ref="AF134:AH135"/>
    <mergeCell ref="AF124:AH124"/>
    <mergeCell ref="T124:V124"/>
    <mergeCell ref="H125:J126"/>
    <mergeCell ref="N141:P141"/>
    <mergeCell ref="N134:P135"/>
    <mergeCell ref="N127:P128"/>
    <mergeCell ref="Q127:S128"/>
    <mergeCell ref="AL127:AN128"/>
    <mergeCell ref="Z104:AB106"/>
    <mergeCell ref="AL94:AN95"/>
    <mergeCell ref="N101:P103"/>
    <mergeCell ref="W125:Y126"/>
    <mergeCell ref="T104:V106"/>
    <mergeCell ref="AI125:AK126"/>
    <mergeCell ref="AI101:AK103"/>
    <mergeCell ref="AL101:AN103"/>
    <mergeCell ref="AC127:AE128"/>
    <mergeCell ref="AC124:AE124"/>
    <mergeCell ref="AI127:AK128"/>
    <mergeCell ref="AF96:AH97"/>
    <mergeCell ref="AC98:AE100"/>
    <mergeCell ref="AF125:AH126"/>
    <mergeCell ref="AL125:AN126"/>
    <mergeCell ref="AL124:AN124"/>
    <mergeCell ref="AL104:AN106"/>
    <mergeCell ref="AC101:AE103"/>
    <mergeCell ref="W124:Y124"/>
    <mergeCell ref="N104:P106"/>
    <mergeCell ref="Z124:AB124"/>
    <mergeCell ref="W98:Y100"/>
    <mergeCell ref="Z98:AB100"/>
    <mergeCell ref="H96:J97"/>
    <mergeCell ref="Z94:AB95"/>
    <mergeCell ref="C98:G100"/>
    <mergeCell ref="C91:G93"/>
    <mergeCell ref="C88:G90"/>
    <mergeCell ref="H88:J90"/>
    <mergeCell ref="H91:J93"/>
    <mergeCell ref="N91:P93"/>
    <mergeCell ref="K91:M93"/>
    <mergeCell ref="Q91:S93"/>
    <mergeCell ref="Q96:S97"/>
    <mergeCell ref="T94:V95"/>
    <mergeCell ref="T96:V97"/>
    <mergeCell ref="N88:P90"/>
    <mergeCell ref="K94:M95"/>
    <mergeCell ref="K96:M97"/>
    <mergeCell ref="N94:P95"/>
    <mergeCell ref="K88:M90"/>
    <mergeCell ref="H98:J100"/>
    <mergeCell ref="Q94:S95"/>
    <mergeCell ref="W94:Y95"/>
    <mergeCell ref="W96:Y97"/>
    <mergeCell ref="N98:P100"/>
    <mergeCell ref="K98:M100"/>
    <mergeCell ref="T134:V135"/>
    <mergeCell ref="AL146:AN147"/>
    <mergeCell ref="AI131:AK131"/>
    <mergeCell ref="AI142:AK143"/>
    <mergeCell ref="AO127:AQ128"/>
    <mergeCell ref="AR142:AT143"/>
    <mergeCell ref="AU142:AW143"/>
    <mergeCell ref="AF131:AH131"/>
    <mergeCell ref="AF132:AH133"/>
    <mergeCell ref="AL134:AN135"/>
    <mergeCell ref="AL144:AN145"/>
    <mergeCell ref="AI144:AK145"/>
    <mergeCell ref="AF141:AH141"/>
    <mergeCell ref="AL142:AN143"/>
    <mergeCell ref="AL141:AN141"/>
    <mergeCell ref="AL132:AN133"/>
    <mergeCell ref="AF146:AH147"/>
    <mergeCell ref="AF127:AH128"/>
    <mergeCell ref="AI134:AK135"/>
    <mergeCell ref="AI132:AK133"/>
    <mergeCell ref="AU141:AW141"/>
    <mergeCell ref="AO142:AQ143"/>
    <mergeCell ref="AF144:AH145"/>
    <mergeCell ref="AI141:AK141"/>
    <mergeCell ref="W104:Y106"/>
    <mergeCell ref="Z131:AB131"/>
    <mergeCell ref="T131:V131"/>
    <mergeCell ref="W131:Y131"/>
    <mergeCell ref="W127:Y128"/>
    <mergeCell ref="Z127:AB128"/>
    <mergeCell ref="AC94:AE95"/>
    <mergeCell ref="AC96:AE97"/>
    <mergeCell ref="Z91:AB93"/>
    <mergeCell ref="AC91:AE93"/>
    <mergeCell ref="Z134:AB135"/>
    <mergeCell ref="W132:Y133"/>
    <mergeCell ref="W134:Y135"/>
    <mergeCell ref="AO132:AQ133"/>
    <mergeCell ref="AO134:AQ135"/>
    <mergeCell ref="C87:E87"/>
    <mergeCell ref="I67:M67"/>
    <mergeCell ref="I70:L70"/>
    <mergeCell ref="C70:H70"/>
    <mergeCell ref="C67:G67"/>
    <mergeCell ref="C68:F68"/>
    <mergeCell ref="C69:G69"/>
    <mergeCell ref="I68:L68"/>
    <mergeCell ref="I69:M69"/>
    <mergeCell ref="C72:G72"/>
    <mergeCell ref="C73:F73"/>
    <mergeCell ref="I73:M73"/>
    <mergeCell ref="AC132:AE133"/>
    <mergeCell ref="AC134:AE135"/>
    <mergeCell ref="Z132:AB133"/>
    <mergeCell ref="AC131:AE131"/>
    <mergeCell ref="Z125:AB126"/>
    <mergeCell ref="T125:V126"/>
    <mergeCell ref="T127:V128"/>
    <mergeCell ref="AU34:AY34"/>
    <mergeCell ref="AM37:AQ37"/>
    <mergeCell ref="AX101:AZ103"/>
    <mergeCell ref="AF101:AH103"/>
    <mergeCell ref="AX88:AZ90"/>
    <mergeCell ref="AU88:AW90"/>
    <mergeCell ref="H87:J87"/>
    <mergeCell ref="T88:V90"/>
    <mergeCell ref="Q88:S90"/>
    <mergeCell ref="C62:O65"/>
    <mergeCell ref="C66:G66"/>
    <mergeCell ref="T34:X34"/>
    <mergeCell ref="T35:X35"/>
    <mergeCell ref="R51:Z51"/>
    <mergeCell ref="R53:Z53"/>
    <mergeCell ref="R54:Z54"/>
    <mergeCell ref="R55:Z55"/>
    <mergeCell ref="R56:Z56"/>
    <mergeCell ref="C74:G74"/>
    <mergeCell ref="C75:G75"/>
    <mergeCell ref="C76:H76"/>
    <mergeCell ref="I74:M74"/>
    <mergeCell ref="C94:G97"/>
    <mergeCell ref="H94:J95"/>
    <mergeCell ref="AC35:AJ35"/>
    <mergeCell ref="AN39:AQ40"/>
    <mergeCell ref="AI39:AM40"/>
    <mergeCell ref="AJ56:AY58"/>
    <mergeCell ref="AJ53:AY55"/>
    <mergeCell ref="AJ50:AY52"/>
    <mergeCell ref="AA56:AD56"/>
    <mergeCell ref="AX87:AZ87"/>
    <mergeCell ref="AU101:AW103"/>
    <mergeCell ref="AX91:AZ93"/>
    <mergeCell ref="AI91:AK93"/>
    <mergeCell ref="Z101:AB103"/>
    <mergeCell ref="AU94:AW95"/>
    <mergeCell ref="AR94:AT95"/>
    <mergeCell ref="AC88:AE90"/>
    <mergeCell ref="AO91:AQ93"/>
    <mergeCell ref="AF91:AH93"/>
    <mergeCell ref="AO96:AQ97"/>
    <mergeCell ref="AO88:AQ90"/>
    <mergeCell ref="AL91:AN93"/>
    <mergeCell ref="AL88:AN90"/>
    <mergeCell ref="AX94:AZ95"/>
    <mergeCell ref="AX96:AZ97"/>
    <mergeCell ref="AR96:AT97"/>
    <mergeCell ref="AI94:AK95"/>
    <mergeCell ref="AI96:AK97"/>
    <mergeCell ref="AO98:AQ100"/>
    <mergeCell ref="AF98:AH100"/>
    <mergeCell ref="AI98:AK100"/>
    <mergeCell ref="AO101:AQ103"/>
    <mergeCell ref="AR101:AT103"/>
    <mergeCell ref="AU96:AW97"/>
    <mergeCell ref="AO94:AQ95"/>
    <mergeCell ref="AV78:AZ78"/>
    <mergeCell ref="AT83:AZ83"/>
    <mergeCell ref="AM36:AQ36"/>
    <mergeCell ref="AM35:AQ35"/>
    <mergeCell ref="AU36:AY36"/>
    <mergeCell ref="AR91:AT93"/>
    <mergeCell ref="AU91:AW93"/>
    <mergeCell ref="AR88:AT90"/>
    <mergeCell ref="AA54:AD54"/>
    <mergeCell ref="AA55:AD55"/>
    <mergeCell ref="S59:AZ60"/>
    <mergeCell ref="AA57:AE57"/>
    <mergeCell ref="R57:Z57"/>
    <mergeCell ref="C40:Z41"/>
    <mergeCell ref="C38:Z38"/>
    <mergeCell ref="M39:Q39"/>
    <mergeCell ref="R52:Z52"/>
    <mergeCell ref="AA52:AD52"/>
    <mergeCell ref="AA51:AD51"/>
    <mergeCell ref="AA53:AD53"/>
    <mergeCell ref="AV42:AZ42"/>
    <mergeCell ref="C35:K35"/>
    <mergeCell ref="L35:O35"/>
    <mergeCell ref="F87:G87"/>
    <mergeCell ref="AT22:AZ22"/>
    <mergeCell ref="AU24:AY24"/>
    <mergeCell ref="AU35:AY35"/>
    <mergeCell ref="AU37:AY37"/>
    <mergeCell ref="AM34:AQ34"/>
    <mergeCell ref="AW39:AZ40"/>
    <mergeCell ref="I47:AZ47"/>
    <mergeCell ref="AC87:AE87"/>
    <mergeCell ref="N87:P87"/>
    <mergeCell ref="I75:L75"/>
    <mergeCell ref="W87:Y87"/>
    <mergeCell ref="T87:V87"/>
    <mergeCell ref="Q87:S87"/>
    <mergeCell ref="AR87:AT87"/>
    <mergeCell ref="AO87:AQ87"/>
    <mergeCell ref="AL87:AN87"/>
    <mergeCell ref="AR39:AV40"/>
    <mergeCell ref="I76:L76"/>
    <mergeCell ref="K87:M87"/>
    <mergeCell ref="Z87:AB87"/>
    <mergeCell ref="AU87:AW87"/>
    <mergeCell ref="R29:V29"/>
    <mergeCell ref="T31:Z31"/>
    <mergeCell ref="L34:O34"/>
    <mergeCell ref="L6:AA6"/>
    <mergeCell ref="AC14:AZ14"/>
    <mergeCell ref="AC18:AZ18"/>
    <mergeCell ref="AM30:AQ30"/>
    <mergeCell ref="AM31:AQ31"/>
    <mergeCell ref="AU30:AZ30"/>
    <mergeCell ref="AU31:AZ31"/>
    <mergeCell ref="AC32:AK33"/>
    <mergeCell ref="AU23:AY23"/>
    <mergeCell ref="AC25:AJ26"/>
    <mergeCell ref="AM26:AP26"/>
    <mergeCell ref="AM24:AP24"/>
    <mergeCell ref="AM19:AQ19"/>
    <mergeCell ref="AC15:AI15"/>
    <mergeCell ref="AC16:AI16"/>
    <mergeCell ref="AC19:AJ19"/>
    <mergeCell ref="AC23:AH23"/>
    <mergeCell ref="AC24:AI24"/>
    <mergeCell ref="AM15:AQ15"/>
    <mergeCell ref="AM16:AQ16"/>
    <mergeCell ref="AU26:AX26"/>
    <mergeCell ref="AU33:AX33"/>
    <mergeCell ref="AM33:AQ33"/>
    <mergeCell ref="AM23:AQ23"/>
    <mergeCell ref="T132:V133"/>
    <mergeCell ref="T141:V141"/>
    <mergeCell ref="AM22:AS22"/>
    <mergeCell ref="C26:Z26"/>
    <mergeCell ref="AC30:AK30"/>
    <mergeCell ref="AC31:AK31"/>
    <mergeCell ref="AL98:AN100"/>
    <mergeCell ref="N96:P97"/>
    <mergeCell ref="AI87:AK87"/>
    <mergeCell ref="AF87:AH87"/>
    <mergeCell ref="T91:V93"/>
    <mergeCell ref="AC36:AI36"/>
    <mergeCell ref="AF94:AH95"/>
    <mergeCell ref="AF88:AH90"/>
    <mergeCell ref="Z88:AB90"/>
    <mergeCell ref="Z96:AB97"/>
    <mergeCell ref="AL96:AN97"/>
    <mergeCell ref="AC37:AJ37"/>
    <mergeCell ref="AI88:AK90"/>
    <mergeCell ref="W91:Y93"/>
    <mergeCell ref="W88:Y90"/>
    <mergeCell ref="C34:H34"/>
    <mergeCell ref="AO104:AQ106"/>
    <mergeCell ref="AC34:AJ34"/>
  </mergeCells>
  <conditionalFormatting sqref="H67 C71">
    <cfRule type="expression" dxfId="22" priority="23" stopIfTrue="1">
      <formula>$I$67=0</formula>
    </cfRule>
    <cfRule type="expression" dxfId="21" priority="25">
      <formula>$I$67&lt;10000</formula>
    </cfRule>
  </conditionalFormatting>
  <conditionalFormatting sqref="H73 C77">
    <cfRule type="expression" dxfId="20" priority="21" stopIfTrue="1">
      <formula>$I$73=0</formula>
    </cfRule>
    <cfRule type="expression" dxfId="19" priority="22">
      <formula>$I$73&lt;10000</formula>
    </cfRule>
  </conditionalFormatting>
  <conditionalFormatting sqref="C28 I28:Z28">
    <cfRule type="expression" dxfId="18" priority="18">
      <formula>OR($L$4="",$L$6="")</formula>
    </cfRule>
  </conditionalFormatting>
  <conditionalFormatting sqref="C40:Z41">
    <cfRule type="expression" dxfId="17" priority="232">
      <formula>$M$39=$AW$39</formula>
    </cfRule>
  </conditionalFormatting>
  <printOptions horizontalCentered="1" verticalCentered="1"/>
  <pageMargins left="0.23622047244094491" right="0.23622047244094491" top="0.19685039370078741" bottom="0.19685039370078741" header="0.31496062992125984" footer="0.31496062992125984"/>
  <pageSetup paperSize="9" orientation="landscape" horizontalDpi="300" verticalDpi="300" r:id="rId1"/>
  <ignoredErrors>
    <ignoredError sqref="I74 V283" evalError="1"/>
  </ignoredErrors>
  <drawing r:id="rId2"/>
  <extLst>
    <ext xmlns:x14="http://schemas.microsoft.com/office/spreadsheetml/2009/9/main" uri="{78C0D931-6437-407d-A8EE-F0AAD7539E65}">
      <x14:conditionalFormattings>
        <x14:conditionalFormatting xmlns:xm="http://schemas.microsoft.com/office/excel/2006/main">
          <x14:cfRule type="expression" priority="15" id="{32793E1F-244A-4A77-AE01-2A996CF45894}">
            <xm:f>'Age Pension additional calcs'!$I$40&lt;=0</xm:f>
            <x14:dxf>
              <font>
                <color theme="6" tint="-0.24994659260841701"/>
              </font>
            </x14:dxf>
          </x14:cfRule>
          <xm:sqref>I47</xm:sqref>
        </x14:conditionalFormatting>
        <x14:conditionalFormatting xmlns:xm="http://schemas.microsoft.com/office/excel/2006/main">
          <x14:cfRule type="expression" priority="12" stopIfTrue="1" id="{2976BCB8-8D9E-4302-A5AE-281707FDC8C6}">
            <xm:f>'Age Pension Calculator'!$V$8="Single"</xm:f>
            <x14:dxf>
              <font>
                <color theme="0" tint="-0.14996795556505021"/>
              </font>
              <fill>
                <patternFill>
                  <bgColor theme="0" tint="-0.14996795556505021"/>
                </patternFill>
              </fill>
            </x14:dxf>
          </x14:cfRule>
          <xm:sqref>T31:Z31</xm:sqref>
        </x14:conditionalFormatting>
        <x14:conditionalFormatting xmlns:xm="http://schemas.microsoft.com/office/excel/2006/main">
          <x14:cfRule type="expression" priority="11" id="{D92B4CAA-8829-4B06-8706-876B38284BBA}">
            <xm:f>'Age Pension Calculator'!$V$8="Single"</xm:f>
            <x14:dxf>
              <font>
                <color theme="0"/>
              </font>
            </x14:dxf>
          </x14:cfRule>
          <xm:sqref>T32:X35</xm:sqref>
        </x14:conditionalFormatting>
        <x14:conditionalFormatting xmlns:xm="http://schemas.microsoft.com/office/excel/2006/main">
          <x14:cfRule type="expression" priority="10" stopIfTrue="1" id="{7D6B1929-6377-4C7D-AEA6-136FAE59CE4E}">
            <xm:f>'Age Pension Calculator'!$V$8="Single"</xm:f>
            <x14:dxf>
              <font>
                <color theme="0" tint="-0.14996795556505021"/>
              </font>
              <fill>
                <patternFill>
                  <bgColor theme="0" tint="-0.14996795556505021"/>
                </patternFill>
              </fill>
            </x14:dxf>
          </x14:cfRule>
          <xm:sqref>L31:Q31</xm:sqref>
        </x14:conditionalFormatting>
        <x14:conditionalFormatting xmlns:xm="http://schemas.microsoft.com/office/excel/2006/main">
          <x14:cfRule type="expression" priority="9" stopIfTrue="1" id="{73EDF1F2-C847-4B81-8129-C3F0C2940A69}">
            <xm:f>'Age Pension Calculator'!$V$8="Single"</xm:f>
            <x14:dxf>
              <font>
                <color theme="0"/>
              </font>
            </x14:dxf>
          </x14:cfRule>
          <xm:sqref>AC31:AZ31</xm:sqref>
        </x14:conditionalFormatting>
        <x14:conditionalFormatting xmlns:xm="http://schemas.microsoft.com/office/excel/2006/main">
          <x14:cfRule type="expression" priority="8" stopIfTrue="1" id="{3AB4DF3A-253C-4315-A4DE-5F3E57D7F227}">
            <xm:f>'Age Pension Calculator'!$V$8="Single"</xm:f>
            <x14:dxf>
              <font>
                <color theme="0" tint="-0.14996795556505021"/>
              </font>
              <fill>
                <patternFill>
                  <bgColor theme="0" tint="-0.14996795556505021"/>
                </patternFill>
              </fill>
            </x14:dxf>
          </x14:cfRule>
          <xm:sqref>AM22:AZ22</xm:sqref>
        </x14:conditionalFormatting>
        <x14:conditionalFormatting xmlns:xm="http://schemas.microsoft.com/office/excel/2006/main">
          <x14:cfRule type="expression" priority="7" stopIfTrue="1" id="{36005248-4F3A-4BE3-A361-44B59959BA7F}">
            <xm:f>'Age Pension Calculator'!$V$8="Single"</xm:f>
            <x14:dxf>
              <font>
                <color theme="0"/>
              </font>
            </x14:dxf>
          </x14:cfRule>
          <xm:sqref>H72:M72 G73:M73 C72:C76 H74:M75 I76:M76</xm:sqref>
        </x14:conditionalFormatting>
        <x14:conditionalFormatting xmlns:xm="http://schemas.microsoft.com/office/excel/2006/main">
          <x14:cfRule type="expression" priority="6" id="{478B93A7-7871-40D9-92F1-F0936721A19E}">
            <xm:f>'Age Pension Calculator'!$V$8="Single"</xm:f>
            <x14:dxf>
              <font>
                <color theme="0"/>
              </font>
            </x14:dxf>
          </x14:cfRule>
          <xm:sqref>C66</xm:sqref>
        </x14:conditionalFormatting>
        <x14:conditionalFormatting xmlns:xm="http://schemas.microsoft.com/office/excel/2006/main">
          <x14:cfRule type="expression" priority="5" stopIfTrue="1" id="{851C8081-0611-45BB-B1E2-1B6B2B1084D5}">
            <xm:f>'Age Pension Calculator'!$V$8="Single"</xm:f>
            <x14:dxf>
              <font>
                <color theme="0" tint="-0.14996795556505021"/>
              </font>
            </x14:dxf>
          </x14:cfRule>
          <xm:sqref>O269:Z269 O281:Z281 AO266:AZ266</xm:sqref>
        </x14:conditionalFormatting>
        <x14:conditionalFormatting xmlns:xm="http://schemas.microsoft.com/office/excel/2006/main">
          <x14:cfRule type="expression" priority="4" id="{CB83E26E-B264-412F-AB06-4A36C630AFF1}">
            <xm:f>'Age Pension Calculator'!$V$8="Single"</xm:f>
            <x14:dxf>
              <font>
                <color theme="0"/>
              </font>
            </x14:dxf>
          </x14:cfRule>
          <xm:sqref>AV267:AZ272 AV275:AX276 AV279:AX280 V282:Z289 V270:X271</xm:sqref>
        </x14:conditionalFormatting>
        <x14:conditionalFormatting xmlns:xm="http://schemas.microsoft.com/office/excel/2006/main">
          <x14:cfRule type="expression" priority="1" id="{8FCABA8D-72BA-4CEB-B27C-0B232FF14867}">
            <xm:f>AND('Admin Settings'!$N$38=0,'Admin Settings'!$N$39=0)</xm:f>
            <x14:dxf>
              <font>
                <color theme="0"/>
              </font>
            </x14:dxf>
          </x14:cfRule>
          <xm:sqref>AC281:AZ282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V54"/>
  <sheetViews>
    <sheetView showRowColHeaders="0" zoomScaleNormal="100" workbookViewId="0">
      <selection activeCell="DC8" sqref="DC8"/>
    </sheetView>
    <sheetView workbookViewId="1"/>
  </sheetViews>
  <sheetFormatPr defaultRowHeight="17.25"/>
  <cols>
    <col min="1" max="1" width="6.25" style="1134" customWidth="1"/>
    <col min="2" max="100" width="1.25" style="1135" customWidth="1"/>
    <col min="101" max="101" width="6.25" style="1135" customWidth="1"/>
    <col min="102" max="16384" width="9" style="1135"/>
  </cols>
  <sheetData>
    <row r="1" spans="2:100" s="1135" customFormat="1" ht="45" customHeight="1">
      <c r="B1" s="1546" t="s">
        <v>1228</v>
      </c>
      <c r="C1" s="1546"/>
      <c r="D1" s="1546"/>
      <c r="E1" s="1546"/>
      <c r="F1" s="1546"/>
      <c r="G1" s="1546"/>
      <c r="H1" s="1546"/>
      <c r="I1" s="1546"/>
      <c r="J1" s="1546"/>
      <c r="K1" s="1546"/>
      <c r="L1" s="1546"/>
      <c r="M1" s="1546"/>
      <c r="N1" s="1546"/>
      <c r="O1" s="1546"/>
      <c r="P1" s="1546"/>
      <c r="Q1" s="1546"/>
      <c r="R1" s="1546"/>
      <c r="S1" s="1546"/>
      <c r="T1" s="1546"/>
      <c r="U1" s="1546"/>
      <c r="V1" s="1546"/>
      <c r="W1" s="1546"/>
      <c r="X1" s="1546"/>
      <c r="Y1" s="1546"/>
      <c r="Z1" s="1546"/>
      <c r="AA1" s="1546"/>
      <c r="AB1" s="1546"/>
      <c r="AC1" s="1546"/>
      <c r="AD1" s="1546"/>
      <c r="AE1" s="1546"/>
      <c r="AF1" s="1546"/>
      <c r="AG1" s="1546"/>
      <c r="AH1" s="1546"/>
      <c r="AI1" s="1546"/>
      <c r="AJ1" s="1546"/>
      <c r="AK1" s="1546"/>
      <c r="AL1" s="1546"/>
      <c r="AM1" s="1546"/>
      <c r="AN1" s="1546"/>
      <c r="AO1" s="1546"/>
      <c r="AP1" s="1546"/>
      <c r="AQ1" s="1546"/>
      <c r="AR1" s="1546"/>
      <c r="AS1" s="1546"/>
      <c r="AT1" s="1546"/>
      <c r="AU1" s="1546"/>
      <c r="AV1" s="1546"/>
      <c r="AW1" s="1546"/>
      <c r="AX1" s="1546"/>
      <c r="AY1" s="1546"/>
      <c r="AZ1" s="1546"/>
      <c r="BA1" s="1546"/>
      <c r="BB1" s="1546"/>
      <c r="BC1" s="1546"/>
      <c r="BD1" s="1546"/>
      <c r="BE1" s="1546"/>
      <c r="BF1" s="1546"/>
      <c r="BG1" s="1546"/>
      <c r="BH1" s="1546"/>
      <c r="BI1" s="1546"/>
      <c r="BJ1" s="1546"/>
      <c r="BK1" s="1546"/>
      <c r="BL1" s="1546"/>
      <c r="BM1" s="1546"/>
      <c r="BN1" s="1546"/>
      <c r="BO1" s="1546"/>
      <c r="BP1" s="1546"/>
      <c r="BQ1" s="1546"/>
      <c r="BR1" s="1546"/>
      <c r="BS1" s="1546"/>
      <c r="BT1" s="1546"/>
      <c r="BU1" s="1546"/>
      <c r="BV1" s="1546"/>
      <c r="BW1" s="1546"/>
      <c r="BX1" s="1546"/>
      <c r="BY1" s="1546"/>
      <c r="BZ1" s="1546"/>
      <c r="CA1" s="1546"/>
      <c r="CB1" s="1546"/>
      <c r="CC1" s="1546"/>
      <c r="CD1" s="1546"/>
      <c r="CE1" s="1546"/>
      <c r="CF1" s="1546"/>
      <c r="CG1" s="1546"/>
      <c r="CH1" s="1546"/>
      <c r="CI1" s="1546"/>
      <c r="CJ1" s="1546"/>
      <c r="CK1" s="1546"/>
      <c r="CL1" s="1546"/>
      <c r="CM1" s="1546"/>
      <c r="CN1" s="1546"/>
      <c r="CO1" s="1546"/>
      <c r="CP1" s="1546"/>
      <c r="CQ1" s="1546"/>
      <c r="CR1" s="1546"/>
      <c r="CS1" s="1546"/>
      <c r="CT1" s="1546"/>
      <c r="CU1" s="1546"/>
      <c r="CV1" s="1546"/>
    </row>
    <row r="2" spans="2:100" s="1135" customFormat="1" ht="29.25" customHeight="1">
      <c r="B2" s="1136" t="s">
        <v>1197</v>
      </c>
    </row>
    <row r="3" spans="2:100" s="1135" customFormat="1" ht="105" customHeight="1"/>
    <row r="4" spans="2:100" s="1135" customFormat="1" ht="69.75" customHeight="1">
      <c r="E4" s="1547" t="str">
        <f ca="1">IF('Age Pension additional calcs'!P36=0,"The withdrawal value at the end of year 15 remained unchanged",""&amp;IF('Age Pension additional calcs'!P35&gt;0,"↑","↓")&amp;" "&amp;IF('Age Pension additional calcs'!P36&gt;0,"Estimated to provide an increased end of year 15 portfolio value of","Estimated to provide a lower end of year 15 portfolio value of")&amp;" "&amp;TEXT('Age Pension additional calcs'!P36,"$#,###")&amp;"")</f>
        <v>↑ Estimated to provide an increased end of year 15 portfolio value of $42,698</v>
      </c>
      <c r="F4" s="1547"/>
      <c r="G4" s="1547"/>
      <c r="H4" s="1547"/>
      <c r="I4" s="1547"/>
      <c r="J4" s="1547"/>
      <c r="K4" s="1547"/>
      <c r="L4" s="1547"/>
      <c r="M4" s="1547"/>
      <c r="N4" s="1547"/>
      <c r="O4" s="1547"/>
      <c r="P4" s="1547"/>
      <c r="Q4" s="1547"/>
      <c r="R4" s="1547"/>
      <c r="S4" s="1547"/>
      <c r="T4" s="1547"/>
      <c r="U4" s="1547"/>
      <c r="V4" s="1547"/>
      <c r="W4" s="1547"/>
      <c r="X4" s="1547"/>
      <c r="Y4" s="1547"/>
      <c r="Z4" s="1547"/>
      <c r="AA4" s="1137"/>
      <c r="AB4" s="1137"/>
      <c r="AC4" s="1137"/>
      <c r="AD4" s="1137"/>
      <c r="AE4" s="1137"/>
      <c r="AF4" s="1137"/>
      <c r="AG4" s="1137"/>
      <c r="AH4" s="1137"/>
      <c r="AI4" s="1137"/>
      <c r="AJ4" s="1137"/>
      <c r="AK4" s="1137"/>
      <c r="AL4" s="1137"/>
      <c r="AM4" s="1137"/>
      <c r="AN4" s="1547" t="str">
        <f>""&amp;IF('Age Pension additional calcs'!P39=0,"Cashflow remained unchanged. Delivers target cashflow "&amp;'Age Pension additional calcs'!P43*100&amp;"% of the time.",IF('Age Pension additional calcs'!P39=0,"",IF('Age Pension additional calcs'!P39&gt;0,"↑ Increased cashflow of ","↓ Decreased cashflow of "))&amp;""&amp;TEXT((IF('Age Pension additional calcs'!P40&lt;0,-'Age Pension additional calcs'!P40,'Age Pension additional calcs'!P40)),"$#,###")&amp;". Met target cashflow "&amp;ROUND(('Age Pension additional calcs'!P43*100),0)&amp;"% of the time.")</f>
        <v>Cashflow remained unchanged. Delivers target cashflow 100% of the time.</v>
      </c>
      <c r="AO4" s="1547"/>
      <c r="AP4" s="1547"/>
      <c r="AQ4" s="1547"/>
      <c r="AR4" s="1547"/>
      <c r="AS4" s="1547"/>
      <c r="AT4" s="1547"/>
      <c r="AU4" s="1547"/>
      <c r="AV4" s="1547"/>
      <c r="AW4" s="1547"/>
      <c r="AX4" s="1547"/>
      <c r="AY4" s="1547"/>
      <c r="AZ4" s="1547"/>
      <c r="BA4" s="1547"/>
      <c r="BB4" s="1547"/>
      <c r="BC4" s="1547"/>
      <c r="BD4" s="1547"/>
      <c r="BE4" s="1547"/>
      <c r="BF4" s="1547"/>
      <c r="BG4" s="1547"/>
      <c r="BH4" s="1547"/>
      <c r="BU4" s="1547" t="str">
        <f>IF('Age Pension additional calcs'!P37=0,"Total Age Pension benefits remained the same as the existing portfolio",""&amp;IF('Age Pension additional calcs'!P37&gt;0,"↑ Projected increase in Age Pension entitlements over 15 years of","↓ Decreases the Age Pension over 15 years by ")&amp;" "&amp;TEXT('Age Pension additional calcs'!P38,"$#,###")&amp;"")</f>
        <v>↑ Projected increase in Age Pension entitlements over 15 years of $20,470</v>
      </c>
      <c r="BV4" s="1547"/>
      <c r="BW4" s="1547"/>
      <c r="BX4" s="1547"/>
      <c r="BY4" s="1547"/>
      <c r="BZ4" s="1547"/>
      <c r="CA4" s="1547"/>
      <c r="CB4" s="1547"/>
      <c r="CC4" s="1547"/>
      <c r="CD4" s="1547"/>
      <c r="CE4" s="1547"/>
      <c r="CF4" s="1547"/>
      <c r="CG4" s="1547"/>
      <c r="CH4" s="1547"/>
      <c r="CI4" s="1547"/>
      <c r="CJ4" s="1547"/>
      <c r="CK4" s="1547"/>
      <c r="CL4" s="1547"/>
      <c r="CM4" s="1547"/>
      <c r="CN4" s="1547"/>
      <c r="CO4" s="1547"/>
      <c r="CP4" s="1547"/>
    </row>
    <row r="6" spans="2:100" s="1135" customFormat="1" ht="22.5" customHeight="1">
      <c r="B6" s="1543" t="s">
        <v>1198</v>
      </c>
      <c r="C6" s="1543"/>
      <c r="D6" s="1543"/>
      <c r="E6" s="1543"/>
      <c r="F6" s="1543"/>
      <c r="G6" s="1543"/>
      <c r="H6" s="1543"/>
      <c r="I6" s="1543"/>
      <c r="J6" s="1543"/>
      <c r="K6" s="1543"/>
      <c r="L6" s="1543"/>
      <c r="M6" s="1543"/>
      <c r="N6" s="1543"/>
      <c r="O6" s="1543"/>
      <c r="P6" s="1543"/>
      <c r="Q6" s="1543"/>
      <c r="R6" s="1543"/>
      <c r="S6" s="1543"/>
      <c r="T6" s="1543"/>
      <c r="U6" s="1543"/>
      <c r="V6" s="1543"/>
      <c r="W6" s="1543"/>
      <c r="X6" s="1543"/>
      <c r="Y6" s="1543"/>
      <c r="Z6" s="1543"/>
      <c r="AA6" s="1543"/>
      <c r="AB6" s="1543"/>
      <c r="AC6" s="1543"/>
      <c r="AD6" s="1543"/>
      <c r="AE6" s="1543"/>
      <c r="AF6" s="1543"/>
      <c r="AG6" s="1543"/>
      <c r="AH6" s="1543"/>
      <c r="AI6" s="1543"/>
      <c r="AJ6" s="1543"/>
      <c r="AK6" s="1543"/>
      <c r="AL6" s="1543"/>
      <c r="AM6" s="1543"/>
      <c r="AN6" s="1543"/>
      <c r="AO6" s="1543"/>
      <c r="AP6" s="1543"/>
      <c r="AQ6" s="1543"/>
      <c r="AR6" s="1543"/>
      <c r="AS6" s="1543"/>
      <c r="AT6" s="1543"/>
      <c r="AU6" s="1543"/>
      <c r="AV6" s="1543"/>
      <c r="AW6" s="1543"/>
      <c r="AX6" s="1543"/>
      <c r="AY6" s="1543"/>
      <c r="AZ6" s="1543"/>
      <c r="BA6" s="1543"/>
      <c r="BB6" s="1543"/>
      <c r="BC6" s="1543"/>
      <c r="BD6" s="1543"/>
      <c r="BE6" s="1543"/>
      <c r="BF6" s="1543"/>
      <c r="BG6" s="1543"/>
      <c r="BH6" s="1543"/>
      <c r="BI6" s="1543"/>
      <c r="BJ6" s="1543"/>
      <c r="BK6" s="1543"/>
      <c r="BL6" s="1543"/>
      <c r="BM6" s="1543"/>
      <c r="BN6" s="1543"/>
      <c r="BO6" s="1543"/>
      <c r="BP6" s="1543"/>
      <c r="BQ6" s="1543"/>
      <c r="BR6" s="1543"/>
      <c r="BS6" s="1543"/>
      <c r="BT6" s="1543"/>
      <c r="BU6" s="1543"/>
      <c r="BV6" s="1543"/>
      <c r="BW6" s="1543"/>
      <c r="BX6" s="1543"/>
      <c r="BY6" s="1543"/>
      <c r="BZ6" s="1543"/>
      <c r="CA6" s="1543"/>
      <c r="CB6" s="1543"/>
      <c r="CC6" s="1543"/>
      <c r="CD6" s="1543"/>
      <c r="CE6" s="1543"/>
      <c r="CF6" s="1543"/>
      <c r="CG6" s="1543"/>
      <c r="CH6" s="1543"/>
      <c r="CI6" s="1543"/>
      <c r="CJ6" s="1543"/>
      <c r="CK6" s="1543"/>
      <c r="CL6" s="1543"/>
      <c r="CM6" s="1543"/>
      <c r="CN6" s="1543"/>
      <c r="CO6" s="1543"/>
      <c r="CP6" s="1543"/>
      <c r="CQ6" s="1543"/>
      <c r="CR6" s="1543"/>
      <c r="CS6" s="1543"/>
      <c r="CT6" s="1543"/>
      <c r="CU6" s="1543"/>
      <c r="CV6" s="1543"/>
    </row>
    <row r="8" spans="2:100" s="1135" customFormat="1" ht="57.75" customHeight="1">
      <c r="B8" s="1538" t="s">
        <v>1184</v>
      </c>
      <c r="C8" s="1539"/>
      <c r="D8" s="1537" t="str">
        <f>"Your client will receive a guaranteed income stream for life. In this illustration the payment amount for the first year is "&amp;TEXT('Deterministic Output'!B3,"$#,###")&amp;". Your clients will enjoy the peace of mind of knowing that a Challenger Lifetime annuity pays an income for life no matter how long they live, with the option to withdraw their money if they really need it within the first 15 years."</f>
        <v>Your client will receive a guaranteed income stream for life. In this illustration the payment amount for the first year is $8,750. Your clients will enjoy the peace of mind of knowing that a Challenger Lifetime annuity pays an income for life no matter how long they live, with the option to withdraw their money if they really need it within the first 15 years.</v>
      </c>
      <c r="E8" s="1537"/>
      <c r="F8" s="1537"/>
      <c r="G8" s="1537"/>
      <c r="H8" s="1537"/>
      <c r="I8" s="1537"/>
      <c r="J8" s="1537"/>
      <c r="K8" s="1537"/>
      <c r="L8" s="1537"/>
      <c r="M8" s="1537"/>
      <c r="N8" s="1537"/>
      <c r="O8" s="1537"/>
      <c r="P8" s="1537"/>
      <c r="Q8" s="1537"/>
      <c r="R8" s="1537"/>
      <c r="S8" s="1537"/>
      <c r="T8" s="1537"/>
      <c r="U8" s="1537"/>
      <c r="V8" s="1537"/>
      <c r="W8" s="1537"/>
      <c r="X8" s="1537"/>
      <c r="Y8" s="1537"/>
      <c r="Z8" s="1537"/>
      <c r="AA8" s="1537"/>
      <c r="AB8" s="1537"/>
      <c r="AC8" s="1537"/>
      <c r="AD8" s="1537"/>
      <c r="AE8" s="1537"/>
      <c r="AF8" s="1537"/>
      <c r="AG8" s="1537"/>
      <c r="AH8" s="1537"/>
      <c r="AI8" s="1537"/>
      <c r="AJ8" s="1537"/>
      <c r="AK8" s="1537"/>
      <c r="AL8" s="1537"/>
      <c r="AM8" s="1537"/>
      <c r="AN8" s="1537"/>
      <c r="AO8" s="1537"/>
      <c r="AP8" s="1537"/>
      <c r="AQ8" s="1537"/>
      <c r="AR8" s="1537"/>
      <c r="AS8" s="1537"/>
      <c r="AT8" s="1537"/>
      <c r="AU8" s="1537"/>
      <c r="AV8" s="1537"/>
      <c r="AW8" s="1537"/>
      <c r="AX8" s="1537"/>
      <c r="AY8" s="1537"/>
      <c r="AZ8" s="1537"/>
      <c r="BA8" s="1537"/>
      <c r="BB8" s="1537"/>
      <c r="BC8" s="1537"/>
      <c r="BD8" s="1537"/>
      <c r="BE8" s="1537"/>
      <c r="BF8" s="1537"/>
      <c r="BG8" s="1537"/>
      <c r="BH8" s="1537"/>
      <c r="BI8" s="1537"/>
      <c r="BJ8" s="1537"/>
      <c r="BK8" s="1537"/>
      <c r="BL8" s="1537"/>
      <c r="BM8" s="1537"/>
      <c r="BN8" s="1537"/>
      <c r="BO8" s="1537"/>
      <c r="BP8" s="1537"/>
      <c r="BQ8" s="1537"/>
      <c r="BR8" s="1537"/>
      <c r="BS8" s="1537"/>
      <c r="BT8" s="1537"/>
      <c r="BU8" s="1537"/>
      <c r="BV8" s="1537"/>
      <c r="BW8" s="1537"/>
      <c r="BX8" s="1537"/>
      <c r="BY8" s="1537"/>
      <c r="BZ8" s="1537"/>
      <c r="CA8" s="1537"/>
      <c r="CB8" s="1537"/>
      <c r="CC8" s="1537"/>
      <c r="CD8" s="1537"/>
      <c r="CE8" s="1537"/>
      <c r="CF8" s="1537"/>
      <c r="CG8" s="1537"/>
      <c r="CH8" s="1537"/>
      <c r="CI8" s="1537"/>
      <c r="CJ8" s="1537"/>
      <c r="CK8" s="1537"/>
      <c r="CL8" s="1537"/>
      <c r="CM8" s="1537"/>
      <c r="CN8" s="1537"/>
      <c r="CO8" s="1537"/>
      <c r="CP8" s="1537"/>
      <c r="CQ8" s="1537"/>
      <c r="CR8" s="1537"/>
      <c r="CS8" s="1537"/>
      <c r="CT8" s="1537"/>
      <c r="CU8" s="1537"/>
      <c r="CV8" s="1537"/>
    </row>
    <row r="9" spans="2:100" s="1135" customFormat="1" ht="3.75" customHeight="1">
      <c r="B9" s="1138"/>
      <c r="C9" s="1138"/>
      <c r="D9" s="1138"/>
      <c r="E9" s="1138"/>
      <c r="F9" s="1138"/>
      <c r="G9" s="1138"/>
      <c r="H9" s="1138"/>
      <c r="I9" s="1138"/>
      <c r="J9" s="1138"/>
      <c r="K9" s="1138"/>
      <c r="L9" s="1138"/>
      <c r="M9" s="1138"/>
      <c r="N9" s="1138"/>
      <c r="O9" s="1138"/>
      <c r="P9" s="1138"/>
      <c r="Q9" s="1138"/>
      <c r="R9" s="1138"/>
      <c r="S9" s="1138"/>
      <c r="T9" s="1138"/>
      <c r="U9" s="1138"/>
      <c r="V9" s="1138"/>
      <c r="W9" s="1138"/>
      <c r="X9" s="1138"/>
      <c r="Y9" s="1138"/>
      <c r="Z9" s="1138"/>
      <c r="AA9" s="1138"/>
      <c r="AB9" s="1138"/>
      <c r="AC9" s="1138"/>
      <c r="AD9" s="1138"/>
      <c r="AE9" s="1138"/>
      <c r="AF9" s="1138"/>
      <c r="AG9" s="1138"/>
      <c r="AH9" s="1138"/>
      <c r="AI9" s="1138"/>
      <c r="AJ9" s="1138"/>
      <c r="AK9" s="1138"/>
      <c r="AL9" s="1138"/>
      <c r="AM9" s="1138"/>
      <c r="AN9" s="1138"/>
      <c r="AO9" s="1138"/>
      <c r="AP9" s="1138"/>
      <c r="AQ9" s="1138"/>
      <c r="AR9" s="1138"/>
      <c r="AS9" s="1138"/>
      <c r="AT9" s="1138"/>
      <c r="AU9" s="1138"/>
      <c r="AV9" s="1138"/>
      <c r="AW9" s="1138"/>
      <c r="AX9" s="1138"/>
      <c r="AY9" s="1138"/>
      <c r="AZ9" s="1138"/>
      <c r="BA9" s="1138"/>
      <c r="BB9" s="1138"/>
      <c r="BC9" s="1138"/>
      <c r="BD9" s="1138"/>
      <c r="BE9" s="1138"/>
      <c r="BF9" s="1138"/>
      <c r="BG9" s="1138"/>
      <c r="BH9" s="1138"/>
      <c r="BI9" s="1138"/>
      <c r="BJ9" s="1138"/>
      <c r="BK9" s="1138"/>
      <c r="BL9" s="1138"/>
      <c r="BM9" s="1138"/>
      <c r="BN9" s="1138"/>
      <c r="BO9" s="1138"/>
      <c r="BP9" s="1138"/>
      <c r="BQ9" s="1138"/>
      <c r="BR9" s="1138"/>
      <c r="BS9" s="1138"/>
      <c r="BT9" s="1138"/>
      <c r="BU9" s="1138"/>
      <c r="BV9" s="1138"/>
      <c r="BW9" s="1138"/>
      <c r="BX9" s="1138"/>
      <c r="BY9" s="1138"/>
      <c r="BZ9" s="1138"/>
      <c r="CA9" s="1138"/>
      <c r="CB9" s="1138"/>
      <c r="CC9" s="1138"/>
      <c r="CD9" s="1138"/>
      <c r="CE9" s="1138"/>
      <c r="CF9" s="1138"/>
      <c r="CG9" s="1138"/>
      <c r="CH9" s="1138"/>
      <c r="CI9" s="1138"/>
      <c r="CJ9" s="1138"/>
      <c r="CK9" s="1138"/>
      <c r="CL9" s="1138"/>
      <c r="CM9" s="1138"/>
      <c r="CN9" s="1138"/>
      <c r="CO9" s="1138"/>
      <c r="CP9" s="1138"/>
      <c r="CQ9" s="1138"/>
      <c r="CR9" s="1138"/>
      <c r="CS9" s="1138"/>
      <c r="CT9" s="1138"/>
      <c r="CU9" s="1138"/>
      <c r="CV9" s="1138"/>
    </row>
    <row r="10" spans="2:100" s="1135" customFormat="1" ht="43.5" customHeight="1">
      <c r="B10" s="1538" t="s">
        <v>1184</v>
      </c>
      <c r="C10" s="1539"/>
      <c r="D10" s="1537" t="str">
        <f ca="1">IF('Age Pension additional calcs'!P36=0,"The withdrawal value at the end of year 15 remained unchanged",""&amp;IF('Age Pension additional calcs'!P36&gt;0,"We estimate that there will be an increase to the end of year 15 portfolio value of","Estimated to provide a lower end of year 15 portfolio value of")&amp;" "&amp;TEXT('Age Pension additional calcs'!P36,"$#,###")&amp;". Note this assumes your client exercises the Liquid Lifetime withdrawal guarantee at the end of 15 years and includes the withdrawal guarantee amount.")</f>
        <v>We estimate that there will be an increase to the end of year 15 portfolio value of $42,698. Note this assumes your client exercises the Liquid Lifetime withdrawal guarantee at the end of 15 years and includes the withdrawal guarantee amount.</v>
      </c>
      <c r="E10" s="1537"/>
      <c r="F10" s="1537"/>
      <c r="G10" s="1537"/>
      <c r="H10" s="1537"/>
      <c r="I10" s="1537"/>
      <c r="J10" s="1537"/>
      <c r="K10" s="1537"/>
      <c r="L10" s="1537"/>
      <c r="M10" s="1537"/>
      <c r="N10" s="1537"/>
      <c r="O10" s="1537"/>
      <c r="P10" s="1537"/>
      <c r="Q10" s="1537"/>
      <c r="R10" s="1537"/>
      <c r="S10" s="1537"/>
      <c r="T10" s="1537"/>
      <c r="U10" s="1537"/>
      <c r="V10" s="1537"/>
      <c r="W10" s="1537"/>
      <c r="X10" s="1537"/>
      <c r="Y10" s="1537"/>
      <c r="Z10" s="1537"/>
      <c r="AA10" s="1537"/>
      <c r="AB10" s="1537"/>
      <c r="AC10" s="1537"/>
      <c r="AD10" s="1537"/>
      <c r="AE10" s="1537"/>
      <c r="AF10" s="1537"/>
      <c r="AG10" s="1537"/>
      <c r="AH10" s="1537"/>
      <c r="AI10" s="1537"/>
      <c r="AJ10" s="1537"/>
      <c r="AK10" s="1537"/>
      <c r="AL10" s="1537"/>
      <c r="AM10" s="1537"/>
      <c r="AN10" s="1537"/>
      <c r="AO10" s="1537"/>
      <c r="AP10" s="1537"/>
      <c r="AQ10" s="1537"/>
      <c r="AR10" s="1537"/>
      <c r="AS10" s="1537"/>
      <c r="AT10" s="1537"/>
      <c r="AU10" s="1537"/>
      <c r="AV10" s="1537"/>
      <c r="AW10" s="1537"/>
      <c r="AX10" s="1537"/>
      <c r="AY10" s="1537"/>
      <c r="AZ10" s="1537"/>
      <c r="BA10" s="1537"/>
      <c r="BB10" s="1537"/>
      <c r="BC10" s="1537"/>
      <c r="BD10" s="1537"/>
      <c r="BE10" s="1537"/>
      <c r="BF10" s="1537"/>
      <c r="BG10" s="1537"/>
      <c r="BH10" s="1537"/>
      <c r="BI10" s="1537"/>
      <c r="BJ10" s="1537"/>
      <c r="BK10" s="1537"/>
      <c r="BL10" s="1537"/>
      <c r="BM10" s="1537"/>
      <c r="BN10" s="1537"/>
      <c r="BO10" s="1537"/>
      <c r="BP10" s="1537"/>
      <c r="BQ10" s="1537"/>
      <c r="BR10" s="1537"/>
      <c r="BS10" s="1537"/>
      <c r="BT10" s="1537"/>
      <c r="BU10" s="1537"/>
      <c r="BV10" s="1537"/>
      <c r="BW10" s="1537"/>
      <c r="BX10" s="1537"/>
      <c r="BY10" s="1537"/>
      <c r="BZ10" s="1537"/>
      <c r="CA10" s="1537"/>
      <c r="CB10" s="1537"/>
      <c r="CC10" s="1537"/>
      <c r="CD10" s="1537"/>
      <c r="CE10" s="1537"/>
      <c r="CF10" s="1537"/>
      <c r="CG10" s="1537"/>
      <c r="CH10" s="1537"/>
      <c r="CI10" s="1537"/>
      <c r="CJ10" s="1537"/>
      <c r="CK10" s="1537"/>
      <c r="CL10" s="1537"/>
      <c r="CM10" s="1537"/>
      <c r="CN10" s="1537"/>
      <c r="CO10" s="1537"/>
      <c r="CP10" s="1537"/>
      <c r="CQ10" s="1537"/>
      <c r="CR10" s="1537"/>
      <c r="CS10" s="1537"/>
      <c r="CT10" s="1537"/>
      <c r="CU10" s="1537"/>
      <c r="CV10" s="1537"/>
    </row>
    <row r="11" spans="2:100" s="1135" customFormat="1" ht="3.75" customHeight="1">
      <c r="B11" s="1138"/>
      <c r="C11" s="1138"/>
      <c r="D11" s="1138"/>
      <c r="E11" s="1138"/>
      <c r="F11" s="1138"/>
      <c r="G11" s="1138"/>
      <c r="H11" s="1138"/>
      <c r="I11" s="1138"/>
      <c r="J11" s="1138"/>
      <c r="K11" s="1138"/>
      <c r="L11" s="1138"/>
      <c r="M11" s="1138"/>
      <c r="N11" s="1138"/>
      <c r="O11" s="1138"/>
      <c r="P11" s="1138"/>
      <c r="Q11" s="1138"/>
      <c r="R11" s="1138"/>
      <c r="S11" s="1138"/>
      <c r="T11" s="1138"/>
      <c r="U11" s="1138"/>
      <c r="V11" s="1138"/>
      <c r="W11" s="1138"/>
      <c r="X11" s="1138"/>
      <c r="Y11" s="1138"/>
      <c r="Z11" s="1138"/>
      <c r="AA11" s="1138"/>
      <c r="AB11" s="1138"/>
      <c r="AC11" s="1138"/>
      <c r="AD11" s="1138"/>
      <c r="AE11" s="1138"/>
      <c r="AF11" s="1138"/>
      <c r="AG11" s="1138"/>
      <c r="AH11" s="1138"/>
      <c r="AI11" s="1138"/>
      <c r="AJ11" s="1138"/>
      <c r="AK11" s="1138"/>
      <c r="AL11" s="1138"/>
      <c r="AM11" s="1138"/>
      <c r="AN11" s="1138"/>
      <c r="AO11" s="1138"/>
      <c r="AP11" s="1138"/>
      <c r="AQ11" s="1138"/>
      <c r="AR11" s="1138"/>
      <c r="AS11" s="1138"/>
      <c r="AT11" s="1138"/>
      <c r="AU11" s="1138"/>
      <c r="AV11" s="1138"/>
      <c r="AW11" s="1138"/>
      <c r="AX11" s="1138"/>
      <c r="AY11" s="1138"/>
      <c r="AZ11" s="1138"/>
      <c r="BA11" s="1138"/>
      <c r="BB11" s="1138"/>
      <c r="BC11" s="1138"/>
      <c r="BD11" s="1138"/>
      <c r="BE11" s="1138"/>
      <c r="BF11" s="1138"/>
      <c r="BG11" s="1138"/>
      <c r="BH11" s="1138"/>
      <c r="BI11" s="1138"/>
      <c r="BJ11" s="1138"/>
      <c r="BK11" s="1138"/>
      <c r="BL11" s="1138"/>
      <c r="BM11" s="1138"/>
      <c r="BN11" s="1138"/>
      <c r="BO11" s="1138"/>
      <c r="BP11" s="1138"/>
      <c r="BQ11" s="1138"/>
      <c r="BR11" s="1138"/>
      <c r="BS11" s="1138"/>
      <c r="BT11" s="1138"/>
      <c r="BU11" s="1138"/>
      <c r="BV11" s="1138"/>
      <c r="BW11" s="1138"/>
      <c r="BX11" s="1138"/>
      <c r="BY11" s="1138"/>
      <c r="BZ11" s="1138"/>
      <c r="CA11" s="1138"/>
      <c r="CB11" s="1138"/>
      <c r="CC11" s="1138"/>
      <c r="CD11" s="1138"/>
      <c r="CE11" s="1138"/>
      <c r="CF11" s="1138"/>
      <c r="CG11" s="1138"/>
      <c r="CH11" s="1138"/>
      <c r="CI11" s="1138"/>
      <c r="CJ11" s="1138"/>
      <c r="CK11" s="1138"/>
      <c r="CL11" s="1138"/>
      <c r="CM11" s="1138"/>
      <c r="CN11" s="1138"/>
      <c r="CO11" s="1138"/>
      <c r="CP11" s="1138"/>
      <c r="CQ11" s="1138"/>
      <c r="CR11" s="1138"/>
      <c r="CS11" s="1138"/>
      <c r="CT11" s="1138"/>
      <c r="CU11" s="1138"/>
      <c r="CV11" s="1138"/>
    </row>
    <row r="12" spans="2:100" s="1135" customFormat="1" ht="21.75" customHeight="1">
      <c r="B12" s="1538" t="s">
        <v>1184</v>
      </c>
      <c r="C12" s="1539"/>
      <c r="D12" s="1537" t="str">
        <f>IF('Age Pension additional calcs'!P37=0,"Total Age Pension benefits remained the same as the existing portfolio.",""&amp;IF('Age Pension additional calcs'!P37&gt;0,"Provides increased Age Pension entitlements over 15 years of","Decreases the Age Pension over 15 years by ")&amp;" "&amp;TEXT('Age Pension additional calcs'!P38,"$#,###")&amp;" ("&amp;TEXT(IF('Age Pension additional calcs'!P37&lt;0,-'Age Pension additional calcs'!P37,'Age Pension additional calcs'!P37),"$#,###")&amp;" in today's dollars).")</f>
        <v>Provides increased Age Pension entitlements over 15 years of $20,470 ($17,319 in today's dollars).</v>
      </c>
      <c r="E12" s="1537"/>
      <c r="F12" s="1537"/>
      <c r="G12" s="1537"/>
      <c r="H12" s="1537"/>
      <c r="I12" s="1537"/>
      <c r="J12" s="1537"/>
      <c r="K12" s="1537"/>
      <c r="L12" s="1537"/>
      <c r="M12" s="1537"/>
      <c r="N12" s="1537"/>
      <c r="O12" s="1537"/>
      <c r="P12" s="1537"/>
      <c r="Q12" s="1537"/>
      <c r="R12" s="1537"/>
      <c r="S12" s="1537"/>
      <c r="T12" s="1537"/>
      <c r="U12" s="1537"/>
      <c r="V12" s="1537"/>
      <c r="W12" s="1537"/>
      <c r="X12" s="1537"/>
      <c r="Y12" s="1537"/>
      <c r="Z12" s="1537"/>
      <c r="AA12" s="1537"/>
      <c r="AB12" s="1537"/>
      <c r="AC12" s="1537"/>
      <c r="AD12" s="1537"/>
      <c r="AE12" s="1537"/>
      <c r="AF12" s="1537"/>
      <c r="AG12" s="1537"/>
      <c r="AH12" s="1537"/>
      <c r="AI12" s="1537"/>
      <c r="AJ12" s="1537"/>
      <c r="AK12" s="1537"/>
      <c r="AL12" s="1537"/>
      <c r="AM12" s="1537"/>
      <c r="AN12" s="1537"/>
      <c r="AO12" s="1537"/>
      <c r="AP12" s="1537"/>
      <c r="AQ12" s="1537"/>
      <c r="AR12" s="1537"/>
      <c r="AS12" s="1537"/>
      <c r="AT12" s="1537"/>
      <c r="AU12" s="1537"/>
      <c r="AV12" s="1537"/>
      <c r="AW12" s="1537"/>
      <c r="AX12" s="1537"/>
      <c r="AY12" s="1537"/>
      <c r="AZ12" s="1537"/>
      <c r="BA12" s="1537"/>
      <c r="BB12" s="1537"/>
      <c r="BC12" s="1537"/>
      <c r="BD12" s="1537"/>
      <c r="BE12" s="1537"/>
      <c r="BF12" s="1537"/>
      <c r="BG12" s="1537"/>
      <c r="BH12" s="1537"/>
      <c r="BI12" s="1537"/>
      <c r="BJ12" s="1537"/>
      <c r="BK12" s="1537"/>
      <c r="BL12" s="1537"/>
      <c r="BM12" s="1537"/>
      <c r="BN12" s="1537"/>
      <c r="BO12" s="1537"/>
      <c r="BP12" s="1537"/>
      <c r="BQ12" s="1537"/>
      <c r="BR12" s="1537"/>
      <c r="BS12" s="1537"/>
      <c r="BT12" s="1537"/>
      <c r="BU12" s="1537"/>
      <c r="BV12" s="1537"/>
      <c r="BW12" s="1537"/>
      <c r="BX12" s="1537"/>
      <c r="BY12" s="1537"/>
      <c r="BZ12" s="1537"/>
      <c r="CA12" s="1537"/>
      <c r="CB12" s="1537"/>
      <c r="CC12" s="1537"/>
      <c r="CD12" s="1537"/>
      <c r="CE12" s="1537"/>
      <c r="CF12" s="1537"/>
      <c r="CG12" s="1537"/>
      <c r="CH12" s="1537"/>
      <c r="CI12" s="1537"/>
      <c r="CJ12" s="1537"/>
      <c r="CK12" s="1537"/>
      <c r="CL12" s="1537"/>
      <c r="CM12" s="1537"/>
      <c r="CN12" s="1537"/>
      <c r="CO12" s="1537"/>
      <c r="CP12" s="1537"/>
      <c r="CQ12" s="1537"/>
      <c r="CR12" s="1537"/>
      <c r="CS12" s="1537"/>
      <c r="CT12" s="1537"/>
      <c r="CU12" s="1537"/>
      <c r="CV12" s="1537"/>
    </row>
    <row r="13" spans="2:100" s="1135" customFormat="1" ht="3.75" customHeight="1">
      <c r="B13" s="1138"/>
      <c r="C13" s="1138"/>
      <c r="D13" s="1138"/>
      <c r="E13" s="1138"/>
      <c r="F13" s="1138"/>
      <c r="G13" s="1138"/>
      <c r="H13" s="1138"/>
      <c r="I13" s="1138"/>
      <c r="J13" s="1138"/>
      <c r="K13" s="1138"/>
      <c r="L13" s="1138"/>
      <c r="M13" s="1138"/>
      <c r="N13" s="1138"/>
      <c r="O13" s="1138"/>
      <c r="P13" s="1138"/>
      <c r="Q13" s="1138"/>
      <c r="R13" s="1138"/>
      <c r="S13" s="1138"/>
      <c r="T13" s="1138"/>
      <c r="U13" s="1138"/>
      <c r="V13" s="1138"/>
      <c r="W13" s="1138"/>
      <c r="X13" s="1138"/>
      <c r="Y13" s="1138"/>
      <c r="Z13" s="1138"/>
      <c r="AA13" s="1138"/>
      <c r="AB13" s="1138"/>
      <c r="AC13" s="1138"/>
      <c r="AD13" s="1138"/>
      <c r="AE13" s="1138"/>
      <c r="AF13" s="1138"/>
      <c r="AG13" s="1138"/>
      <c r="AH13" s="1138"/>
      <c r="AI13" s="1138"/>
      <c r="AJ13" s="1138"/>
      <c r="AK13" s="1138"/>
      <c r="AL13" s="1138"/>
      <c r="AM13" s="1138"/>
      <c r="AN13" s="1138"/>
      <c r="AO13" s="1138"/>
      <c r="AP13" s="1138"/>
      <c r="AQ13" s="1138"/>
      <c r="AR13" s="1138"/>
      <c r="AS13" s="1138"/>
      <c r="AT13" s="1138"/>
      <c r="AU13" s="1138"/>
      <c r="AV13" s="1138"/>
      <c r="AW13" s="1138"/>
      <c r="AX13" s="1138"/>
      <c r="AY13" s="1138"/>
      <c r="AZ13" s="1138"/>
      <c r="BA13" s="1138"/>
      <c r="BB13" s="1138"/>
      <c r="BC13" s="1138"/>
      <c r="BD13" s="1138"/>
      <c r="BE13" s="1138"/>
      <c r="BF13" s="1138"/>
      <c r="BG13" s="1138"/>
      <c r="BH13" s="1138"/>
      <c r="BI13" s="1138"/>
      <c r="BJ13" s="1138"/>
      <c r="BK13" s="1138"/>
      <c r="BL13" s="1138"/>
      <c r="BM13" s="1138"/>
      <c r="BN13" s="1138"/>
      <c r="BO13" s="1138"/>
      <c r="BP13" s="1138"/>
      <c r="BQ13" s="1138"/>
      <c r="BR13" s="1138"/>
      <c r="BS13" s="1138"/>
      <c r="BT13" s="1138"/>
      <c r="BU13" s="1138"/>
      <c r="BV13" s="1138"/>
      <c r="BW13" s="1138"/>
      <c r="BX13" s="1138"/>
      <c r="BY13" s="1138"/>
      <c r="BZ13" s="1138"/>
      <c r="CA13" s="1138"/>
      <c r="CB13" s="1138"/>
      <c r="CC13" s="1138"/>
      <c r="CD13" s="1138"/>
      <c r="CE13" s="1138"/>
      <c r="CF13" s="1138"/>
      <c r="CG13" s="1138"/>
      <c r="CH13" s="1138"/>
      <c r="CI13" s="1138"/>
      <c r="CJ13" s="1138"/>
      <c r="CK13" s="1138"/>
      <c r="CL13" s="1138"/>
      <c r="CM13" s="1138"/>
      <c r="CN13" s="1138"/>
      <c r="CO13" s="1138"/>
      <c r="CP13" s="1138"/>
      <c r="CQ13" s="1138"/>
      <c r="CR13" s="1138"/>
      <c r="CS13" s="1138"/>
      <c r="CT13" s="1138"/>
      <c r="CU13" s="1138"/>
      <c r="CV13" s="1138"/>
    </row>
    <row r="14" spans="2:100" s="1135" customFormat="1" ht="39" customHeight="1">
      <c r="B14" s="1538" t="s">
        <v>1184</v>
      </c>
      <c r="C14" s="1539"/>
      <c r="D14" s="1537" t="str">
        <f>"Annuity cash flow (annuity earnings + capital return + Age Pension boost) starts at "&amp;ROUND(SUM('Age Pension Calculator'!AS74*100),1)&amp;"% and is estimated to climb as high as "&amp;ROUND((MAX('Age Pension Calculator'!AS74:BG75)*100),1)&amp;"% of the initial annuity purchase price during the 15 years."</f>
        <v>Annuity cash flow (annuity earnings + capital return + Age Pension boost) starts at 5% and is estimated to climb as high as 6.6% of the initial annuity purchase price during the 15 years.</v>
      </c>
      <c r="E14" s="1537"/>
      <c r="F14" s="1537"/>
      <c r="G14" s="1537"/>
      <c r="H14" s="1537"/>
      <c r="I14" s="1537"/>
      <c r="J14" s="1537"/>
      <c r="K14" s="1537"/>
      <c r="L14" s="1537"/>
      <c r="M14" s="1537"/>
      <c r="N14" s="1537"/>
      <c r="O14" s="1537"/>
      <c r="P14" s="1537"/>
      <c r="Q14" s="1537"/>
      <c r="R14" s="1537"/>
      <c r="S14" s="1537"/>
      <c r="T14" s="1537"/>
      <c r="U14" s="1537"/>
      <c r="V14" s="1537"/>
      <c r="W14" s="1537"/>
      <c r="X14" s="1537"/>
      <c r="Y14" s="1537"/>
      <c r="Z14" s="1537"/>
      <c r="AA14" s="1537"/>
      <c r="AB14" s="1537"/>
      <c r="AC14" s="1537"/>
      <c r="AD14" s="1537"/>
      <c r="AE14" s="1537"/>
      <c r="AF14" s="1537"/>
      <c r="AG14" s="1537"/>
      <c r="AH14" s="1537"/>
      <c r="AI14" s="1537"/>
      <c r="AJ14" s="1537"/>
      <c r="AK14" s="1537"/>
      <c r="AL14" s="1537"/>
      <c r="AM14" s="1537"/>
      <c r="AN14" s="1537"/>
      <c r="AO14" s="1537"/>
      <c r="AP14" s="1537"/>
      <c r="AQ14" s="1537"/>
      <c r="AR14" s="1537"/>
      <c r="AS14" s="1537"/>
      <c r="AT14" s="1537"/>
      <c r="AU14" s="1537"/>
      <c r="AV14" s="1537"/>
      <c r="AW14" s="1537"/>
      <c r="AX14" s="1537"/>
      <c r="AY14" s="1537"/>
      <c r="AZ14" s="1537"/>
      <c r="BA14" s="1537"/>
      <c r="BB14" s="1537"/>
      <c r="BC14" s="1537"/>
      <c r="BD14" s="1537"/>
      <c r="BE14" s="1537"/>
      <c r="BF14" s="1537"/>
      <c r="BG14" s="1537"/>
      <c r="BH14" s="1537"/>
      <c r="BI14" s="1537"/>
      <c r="BJ14" s="1537"/>
      <c r="BK14" s="1537"/>
      <c r="BL14" s="1537"/>
      <c r="BM14" s="1537"/>
      <c r="BN14" s="1537"/>
      <c r="BO14" s="1537"/>
      <c r="BP14" s="1537"/>
      <c r="BQ14" s="1537"/>
      <c r="BR14" s="1537"/>
      <c r="BS14" s="1537"/>
      <c r="BT14" s="1537"/>
      <c r="BU14" s="1537"/>
      <c r="BV14" s="1537"/>
      <c r="BW14" s="1537"/>
      <c r="BX14" s="1537"/>
      <c r="BY14" s="1537"/>
      <c r="BZ14" s="1537"/>
      <c r="CA14" s="1537"/>
      <c r="CB14" s="1537"/>
      <c r="CC14" s="1537"/>
      <c r="CD14" s="1537"/>
      <c r="CE14" s="1537"/>
      <c r="CF14" s="1537"/>
      <c r="CG14" s="1537"/>
      <c r="CH14" s="1537"/>
      <c r="CI14" s="1537"/>
      <c r="CJ14" s="1537"/>
      <c r="CK14" s="1537"/>
      <c r="CL14" s="1537"/>
      <c r="CM14" s="1537"/>
      <c r="CN14" s="1537"/>
      <c r="CO14" s="1537"/>
      <c r="CP14" s="1537"/>
      <c r="CQ14" s="1537"/>
      <c r="CR14" s="1537"/>
      <c r="CS14" s="1537"/>
      <c r="CT14" s="1537"/>
      <c r="CU14" s="1537"/>
      <c r="CV14" s="1537"/>
    </row>
    <row r="15" spans="2:100" s="1135" customFormat="1" ht="3.75" customHeight="1">
      <c r="B15" s="1138"/>
      <c r="C15" s="1138"/>
      <c r="D15" s="1138"/>
      <c r="E15" s="1138"/>
      <c r="F15" s="1138"/>
      <c r="G15" s="1138"/>
      <c r="H15" s="1138"/>
      <c r="I15" s="1138"/>
      <c r="J15" s="1138"/>
      <c r="K15" s="1138"/>
      <c r="L15" s="1138"/>
      <c r="M15" s="1138"/>
      <c r="N15" s="1138"/>
      <c r="O15" s="1138"/>
      <c r="P15" s="1138"/>
      <c r="Q15" s="1138"/>
      <c r="R15" s="1138"/>
      <c r="S15" s="1138"/>
      <c r="T15" s="1138"/>
      <c r="U15" s="1138"/>
      <c r="V15" s="1138"/>
      <c r="W15" s="1138"/>
      <c r="X15" s="1138"/>
      <c r="Y15" s="1138"/>
      <c r="Z15" s="1138"/>
      <c r="AA15" s="1138"/>
      <c r="AB15" s="1138"/>
      <c r="AC15" s="1138"/>
      <c r="AD15" s="1138"/>
      <c r="AE15" s="1138"/>
      <c r="AF15" s="1138"/>
      <c r="AG15" s="1138"/>
      <c r="AH15" s="1138"/>
      <c r="AI15" s="1138"/>
      <c r="AJ15" s="1138"/>
      <c r="AK15" s="1138"/>
      <c r="AL15" s="1138"/>
      <c r="AM15" s="1138"/>
      <c r="AN15" s="1138"/>
      <c r="AO15" s="1138"/>
      <c r="AP15" s="1138"/>
      <c r="AQ15" s="1138"/>
      <c r="AR15" s="1138"/>
      <c r="AS15" s="1138"/>
      <c r="AT15" s="1138"/>
      <c r="AU15" s="1138"/>
      <c r="AV15" s="1138"/>
      <c r="AW15" s="1138"/>
      <c r="AX15" s="1138"/>
      <c r="AY15" s="1138"/>
      <c r="AZ15" s="1138"/>
      <c r="BA15" s="1138"/>
      <c r="BB15" s="1138"/>
      <c r="BC15" s="1138"/>
      <c r="BD15" s="1138"/>
      <c r="BE15" s="1138"/>
      <c r="BF15" s="1138"/>
      <c r="BG15" s="1138"/>
      <c r="BH15" s="1138"/>
      <c r="BI15" s="1138"/>
      <c r="BJ15" s="1138"/>
      <c r="BK15" s="1138"/>
      <c r="BL15" s="1138"/>
      <c r="BM15" s="1138"/>
      <c r="BN15" s="1138"/>
      <c r="BO15" s="1138"/>
      <c r="BP15" s="1138"/>
      <c r="BQ15" s="1138"/>
      <c r="BR15" s="1138"/>
      <c r="BS15" s="1138"/>
      <c r="BT15" s="1138"/>
      <c r="BU15" s="1138"/>
      <c r="BV15" s="1138"/>
      <c r="BW15" s="1138"/>
      <c r="BX15" s="1138"/>
      <c r="BY15" s="1138"/>
      <c r="BZ15" s="1138"/>
      <c r="CA15" s="1138"/>
      <c r="CB15" s="1138"/>
      <c r="CC15" s="1138"/>
      <c r="CD15" s="1138"/>
      <c r="CE15" s="1138"/>
      <c r="CF15" s="1138"/>
      <c r="CG15" s="1138"/>
      <c r="CH15" s="1138"/>
      <c r="CI15" s="1138"/>
      <c r="CJ15" s="1138"/>
      <c r="CK15" s="1138"/>
      <c r="CL15" s="1138"/>
      <c r="CM15" s="1138"/>
      <c r="CN15" s="1138"/>
      <c r="CO15" s="1138"/>
      <c r="CP15" s="1138"/>
      <c r="CQ15" s="1138"/>
      <c r="CR15" s="1138"/>
      <c r="CS15" s="1138"/>
      <c r="CT15" s="1138"/>
      <c r="CU15" s="1138"/>
      <c r="CV15" s="1138"/>
    </row>
    <row r="16" spans="2:100" s="1135" customFormat="1" ht="38.25" customHeight="1">
      <c r="B16" s="1538" t="s">
        <v>1184</v>
      </c>
      <c r="C16" s="1539"/>
      <c r="D16" s="1537" t="str">
        <f>"The Liquid Lifetime annuity has a lump sum withdrawal value for the first 15 years (with the amount payable at the end of year 15 guaranteed). It also has a guaranteed death benefit during the first 15 years."</f>
        <v>The Liquid Lifetime annuity has a lump sum withdrawal value for the first 15 years (with the amount payable at the end of year 15 guaranteed). It also has a guaranteed death benefit during the first 15 years.</v>
      </c>
      <c r="E16" s="1537"/>
      <c r="F16" s="1537"/>
      <c r="G16" s="1537"/>
      <c r="H16" s="1537"/>
      <c r="I16" s="1537"/>
      <c r="J16" s="1537"/>
      <c r="K16" s="1537"/>
      <c r="L16" s="1537"/>
      <c r="M16" s="1537"/>
      <c r="N16" s="1537"/>
      <c r="O16" s="1537"/>
      <c r="P16" s="1537"/>
      <c r="Q16" s="1537"/>
      <c r="R16" s="1537"/>
      <c r="S16" s="1537"/>
      <c r="T16" s="1537"/>
      <c r="U16" s="1537"/>
      <c r="V16" s="1537"/>
      <c r="W16" s="1537"/>
      <c r="X16" s="1537"/>
      <c r="Y16" s="1537"/>
      <c r="Z16" s="1537"/>
      <c r="AA16" s="1537"/>
      <c r="AB16" s="1537"/>
      <c r="AC16" s="1537"/>
      <c r="AD16" s="1537"/>
      <c r="AE16" s="1537"/>
      <c r="AF16" s="1537"/>
      <c r="AG16" s="1537"/>
      <c r="AH16" s="1537"/>
      <c r="AI16" s="1537"/>
      <c r="AJ16" s="1537"/>
      <c r="AK16" s="1537"/>
      <c r="AL16" s="1537"/>
      <c r="AM16" s="1537"/>
      <c r="AN16" s="1537"/>
      <c r="AO16" s="1537"/>
      <c r="AP16" s="1537"/>
      <c r="AQ16" s="1537"/>
      <c r="AR16" s="1537"/>
      <c r="AS16" s="1537"/>
      <c r="AT16" s="1537"/>
      <c r="AU16" s="1537"/>
      <c r="AV16" s="1537"/>
      <c r="AW16" s="1537"/>
      <c r="AX16" s="1537"/>
      <c r="AY16" s="1537"/>
      <c r="AZ16" s="1537"/>
      <c r="BA16" s="1537"/>
      <c r="BB16" s="1537"/>
      <c r="BC16" s="1537"/>
      <c r="BD16" s="1537"/>
      <c r="BE16" s="1537"/>
      <c r="BF16" s="1537"/>
      <c r="BG16" s="1537"/>
      <c r="BH16" s="1537"/>
      <c r="BI16" s="1537"/>
      <c r="BJ16" s="1537"/>
      <c r="BK16" s="1537"/>
      <c r="BL16" s="1537"/>
      <c r="BM16" s="1537"/>
      <c r="BN16" s="1537"/>
      <c r="BO16" s="1537"/>
      <c r="BP16" s="1537"/>
      <c r="BQ16" s="1537"/>
      <c r="BR16" s="1537"/>
      <c r="BS16" s="1537"/>
      <c r="BT16" s="1537"/>
      <c r="BU16" s="1537"/>
      <c r="BV16" s="1537"/>
      <c r="BW16" s="1537"/>
      <c r="BX16" s="1537"/>
      <c r="BY16" s="1537"/>
      <c r="BZ16" s="1537"/>
      <c r="CA16" s="1537"/>
      <c r="CB16" s="1537"/>
      <c r="CC16" s="1537"/>
      <c r="CD16" s="1537"/>
      <c r="CE16" s="1537"/>
      <c r="CF16" s="1537"/>
      <c r="CG16" s="1537"/>
      <c r="CH16" s="1537"/>
      <c r="CI16" s="1537"/>
      <c r="CJ16" s="1537"/>
      <c r="CK16" s="1537"/>
      <c r="CL16" s="1537"/>
      <c r="CM16" s="1537"/>
      <c r="CN16" s="1537"/>
      <c r="CO16" s="1537"/>
      <c r="CP16" s="1537"/>
      <c r="CQ16" s="1537"/>
      <c r="CR16" s="1537"/>
      <c r="CS16" s="1537"/>
      <c r="CT16" s="1537"/>
      <c r="CU16" s="1537"/>
      <c r="CV16" s="1537"/>
    </row>
    <row r="17" spans="2:100" s="1135" customFormat="1" ht="3.75" customHeight="1">
      <c r="B17" s="1138"/>
      <c r="C17" s="1138"/>
      <c r="D17" s="1138"/>
      <c r="E17" s="1138"/>
      <c r="F17" s="1138"/>
      <c r="G17" s="1138"/>
      <c r="H17" s="1138"/>
      <c r="I17" s="1138"/>
      <c r="J17" s="1138"/>
      <c r="K17" s="1138"/>
      <c r="L17" s="1138"/>
      <c r="M17" s="1138"/>
      <c r="N17" s="1138"/>
      <c r="O17" s="1138"/>
      <c r="P17" s="1138"/>
      <c r="Q17" s="1138"/>
      <c r="R17" s="1138"/>
      <c r="S17" s="1138"/>
      <c r="T17" s="1138"/>
      <c r="U17" s="1138"/>
      <c r="V17" s="1138"/>
      <c r="W17" s="1138"/>
      <c r="X17" s="1138"/>
      <c r="Y17" s="1138"/>
      <c r="Z17" s="1138"/>
      <c r="AA17" s="1138"/>
      <c r="AB17" s="1138"/>
      <c r="AC17" s="1138"/>
      <c r="AD17" s="1138"/>
      <c r="AE17" s="1138"/>
      <c r="AF17" s="1138"/>
      <c r="AG17" s="1138"/>
      <c r="AH17" s="1138"/>
      <c r="AI17" s="1138"/>
      <c r="AJ17" s="1138"/>
      <c r="AK17" s="1138"/>
      <c r="AL17" s="1138"/>
      <c r="AM17" s="1138"/>
      <c r="AN17" s="1138"/>
      <c r="AO17" s="1138"/>
      <c r="AP17" s="1138"/>
      <c r="AQ17" s="1138"/>
      <c r="AR17" s="1138"/>
      <c r="AS17" s="1138"/>
      <c r="AT17" s="1138"/>
      <c r="AU17" s="1138"/>
      <c r="AV17" s="1138"/>
      <c r="AW17" s="1138"/>
      <c r="AX17" s="1138"/>
      <c r="AY17" s="1138"/>
      <c r="AZ17" s="1138"/>
      <c r="BA17" s="1138"/>
      <c r="BB17" s="1138"/>
      <c r="BC17" s="1138"/>
      <c r="BD17" s="1138"/>
      <c r="BE17" s="1138"/>
      <c r="BF17" s="1138"/>
      <c r="BG17" s="1138"/>
      <c r="BH17" s="1138"/>
      <c r="BI17" s="1138"/>
      <c r="BJ17" s="1138"/>
      <c r="BK17" s="1138"/>
      <c r="BL17" s="1138"/>
      <c r="BM17" s="1138"/>
      <c r="BN17" s="1138"/>
      <c r="BO17" s="1138"/>
      <c r="BP17" s="1138"/>
      <c r="BQ17" s="1138"/>
      <c r="BR17" s="1138"/>
      <c r="BS17" s="1138"/>
      <c r="BT17" s="1138"/>
      <c r="BU17" s="1138"/>
      <c r="BV17" s="1138"/>
      <c r="BW17" s="1138"/>
      <c r="BX17" s="1138"/>
      <c r="BY17" s="1138"/>
      <c r="BZ17" s="1138"/>
      <c r="CA17" s="1138"/>
      <c r="CB17" s="1138"/>
      <c r="CC17" s="1138"/>
      <c r="CD17" s="1138"/>
      <c r="CE17" s="1138"/>
      <c r="CF17" s="1138"/>
      <c r="CG17" s="1138"/>
      <c r="CH17" s="1138"/>
      <c r="CI17" s="1138"/>
      <c r="CJ17" s="1138"/>
      <c r="CK17" s="1138"/>
      <c r="CL17" s="1138"/>
      <c r="CM17" s="1138"/>
      <c r="CN17" s="1138"/>
      <c r="CO17" s="1138"/>
      <c r="CP17" s="1138"/>
      <c r="CQ17" s="1138"/>
      <c r="CR17" s="1138"/>
      <c r="CS17" s="1138"/>
      <c r="CT17" s="1138"/>
      <c r="CU17" s="1138"/>
      <c r="CV17" s="1138"/>
    </row>
    <row r="18" spans="2:100" s="1135" customFormat="1" ht="40.5" customHeight="1">
      <c r="B18" s="1538" t="s">
        <v>1184</v>
      </c>
      <c r="C18" s="1539"/>
      <c r="D18" s="1537" t="str">
        <f ca="1">IF(AnnuityMoney="Account-Based Pension (super)","At the end of year 15 there is the option to withdraw or rollover "&amp;TEXT('Age Pension additional calcs'!AL5,"$#,###")&amp;" of the original annuity investment. It is important to note that the Liquid Lifetime (regular income) annuity has a withdrawal window for the first 15 years only.","At the end of year 15 there is the option to withdraw "&amp;TEXT('Age Pension additional calcs'!AL3+'Age Pension additional calcs'!AL4,"$#,###")&amp;" ("&amp;IF('Age Pension additional calcs'!AL3+'Age Pension additional calcs'!AL4='Age Pension additional calcs'!AL5,"",TEXT('Age Pension additional calcs'!AL5,"$#,###"))&amp;" after tax using today's tax rates) of the original annuity investment. It is important to note that the annuity has a withdrawal window during the first 15 years only.")</f>
        <v>At the end of year 15 there is the option to withdraw or rollover $131,250 of the original annuity investment. It is important to note that the Liquid Lifetime (regular income) annuity has a withdrawal window for the first 15 years only.</v>
      </c>
      <c r="E18" s="1537"/>
      <c r="F18" s="1537"/>
      <c r="G18" s="1537"/>
      <c r="H18" s="1537"/>
      <c r="I18" s="1537"/>
      <c r="J18" s="1537"/>
      <c r="K18" s="1537"/>
      <c r="L18" s="1537"/>
      <c r="M18" s="1537"/>
      <c r="N18" s="1537"/>
      <c r="O18" s="1537"/>
      <c r="P18" s="1537"/>
      <c r="Q18" s="1537"/>
      <c r="R18" s="1537"/>
      <c r="S18" s="1537"/>
      <c r="T18" s="1537"/>
      <c r="U18" s="1537"/>
      <c r="V18" s="1537"/>
      <c r="W18" s="1537"/>
      <c r="X18" s="1537"/>
      <c r="Y18" s="1537"/>
      <c r="Z18" s="1537"/>
      <c r="AA18" s="1537"/>
      <c r="AB18" s="1537"/>
      <c r="AC18" s="1537"/>
      <c r="AD18" s="1537"/>
      <c r="AE18" s="1537"/>
      <c r="AF18" s="1537"/>
      <c r="AG18" s="1537"/>
      <c r="AH18" s="1537"/>
      <c r="AI18" s="1537"/>
      <c r="AJ18" s="1537"/>
      <c r="AK18" s="1537"/>
      <c r="AL18" s="1537"/>
      <c r="AM18" s="1537"/>
      <c r="AN18" s="1537"/>
      <c r="AO18" s="1537"/>
      <c r="AP18" s="1537"/>
      <c r="AQ18" s="1537"/>
      <c r="AR18" s="1537"/>
      <c r="AS18" s="1537"/>
      <c r="AT18" s="1537"/>
      <c r="AU18" s="1537"/>
      <c r="AV18" s="1537"/>
      <c r="AW18" s="1537"/>
      <c r="AX18" s="1537"/>
      <c r="AY18" s="1537"/>
      <c r="AZ18" s="1537"/>
      <c r="BA18" s="1537"/>
      <c r="BB18" s="1537"/>
      <c r="BC18" s="1537"/>
      <c r="BD18" s="1537"/>
      <c r="BE18" s="1537"/>
      <c r="BF18" s="1537"/>
      <c r="BG18" s="1537"/>
      <c r="BH18" s="1537"/>
      <c r="BI18" s="1537"/>
      <c r="BJ18" s="1537"/>
      <c r="BK18" s="1537"/>
      <c r="BL18" s="1537"/>
      <c r="BM18" s="1537"/>
      <c r="BN18" s="1537"/>
      <c r="BO18" s="1537"/>
      <c r="BP18" s="1537"/>
      <c r="BQ18" s="1537"/>
      <c r="BR18" s="1537"/>
      <c r="BS18" s="1537"/>
      <c r="BT18" s="1537"/>
      <c r="BU18" s="1537"/>
      <c r="BV18" s="1537"/>
      <c r="BW18" s="1537"/>
      <c r="BX18" s="1537"/>
      <c r="BY18" s="1537"/>
      <c r="BZ18" s="1537"/>
      <c r="CA18" s="1537"/>
      <c r="CB18" s="1537"/>
      <c r="CC18" s="1537"/>
      <c r="CD18" s="1537"/>
      <c r="CE18" s="1537"/>
      <c r="CF18" s="1537"/>
      <c r="CG18" s="1537"/>
      <c r="CH18" s="1537"/>
      <c r="CI18" s="1537"/>
      <c r="CJ18" s="1537"/>
      <c r="CK18" s="1537"/>
      <c r="CL18" s="1537"/>
      <c r="CM18" s="1537"/>
      <c r="CN18" s="1537"/>
      <c r="CO18" s="1537"/>
      <c r="CP18" s="1537"/>
      <c r="CQ18" s="1537"/>
      <c r="CR18" s="1537"/>
      <c r="CS18" s="1537"/>
      <c r="CT18" s="1537"/>
      <c r="CU18" s="1537"/>
      <c r="CV18" s="1537"/>
    </row>
    <row r="19" spans="2:100" s="1135" customFormat="1" ht="3.75" customHeight="1">
      <c r="B19" s="1139"/>
      <c r="C19" s="1140"/>
      <c r="D19" s="1138"/>
      <c r="E19" s="1138"/>
      <c r="F19" s="1138"/>
      <c r="G19" s="1138"/>
      <c r="H19" s="1138"/>
      <c r="I19" s="1138"/>
      <c r="J19" s="1138"/>
      <c r="K19" s="1138"/>
      <c r="L19" s="1138"/>
      <c r="M19" s="1138"/>
      <c r="N19" s="1138"/>
      <c r="O19" s="1138"/>
      <c r="P19" s="1138"/>
      <c r="Q19" s="1138"/>
      <c r="R19" s="1138"/>
      <c r="S19" s="1138"/>
      <c r="T19" s="1138"/>
      <c r="U19" s="1138"/>
      <c r="V19" s="1138"/>
      <c r="W19" s="1138"/>
      <c r="X19" s="1138"/>
      <c r="Y19" s="1138"/>
      <c r="Z19" s="1138"/>
      <c r="AA19" s="1138"/>
      <c r="AB19" s="1138"/>
      <c r="AC19" s="1138"/>
      <c r="AD19" s="1138"/>
      <c r="AE19" s="1138"/>
      <c r="AF19" s="1138"/>
      <c r="AG19" s="1138"/>
      <c r="AH19" s="1138"/>
      <c r="AI19" s="1138"/>
      <c r="AJ19" s="1138"/>
      <c r="AK19" s="1138"/>
      <c r="AL19" s="1138"/>
      <c r="AM19" s="1138"/>
      <c r="AN19" s="1138"/>
      <c r="AO19" s="1138"/>
      <c r="AP19" s="1138"/>
      <c r="AQ19" s="1138"/>
      <c r="AR19" s="1138"/>
      <c r="AS19" s="1138"/>
      <c r="AT19" s="1138"/>
      <c r="AU19" s="1138"/>
      <c r="AV19" s="1138"/>
      <c r="AW19" s="1138"/>
      <c r="AX19" s="1138"/>
      <c r="AY19" s="1138"/>
      <c r="AZ19" s="1138"/>
      <c r="BA19" s="1138"/>
      <c r="BB19" s="1138"/>
      <c r="BC19" s="1138"/>
      <c r="BD19" s="1138"/>
      <c r="BE19" s="1138"/>
      <c r="BF19" s="1138"/>
      <c r="BG19" s="1138"/>
      <c r="BH19" s="1138"/>
      <c r="BI19" s="1138"/>
      <c r="BJ19" s="1138"/>
      <c r="BK19" s="1138"/>
      <c r="BL19" s="1138"/>
      <c r="BM19" s="1138"/>
      <c r="BN19" s="1138"/>
      <c r="BO19" s="1138"/>
      <c r="BP19" s="1138"/>
      <c r="BQ19" s="1138"/>
      <c r="BR19" s="1138"/>
      <c r="BS19" s="1138"/>
      <c r="BT19" s="1138"/>
      <c r="BU19" s="1138"/>
      <c r="BV19" s="1138"/>
      <c r="BW19" s="1138"/>
      <c r="BX19" s="1138"/>
      <c r="BY19" s="1138"/>
      <c r="BZ19" s="1138"/>
      <c r="CA19" s="1138"/>
      <c r="CB19" s="1138"/>
      <c r="CC19" s="1138"/>
      <c r="CD19" s="1138"/>
      <c r="CE19" s="1138"/>
      <c r="CF19" s="1138"/>
      <c r="CG19" s="1138"/>
      <c r="CH19" s="1138"/>
      <c r="CI19" s="1138"/>
      <c r="CJ19" s="1138"/>
      <c r="CK19" s="1138"/>
      <c r="CL19" s="1138"/>
      <c r="CM19" s="1138"/>
      <c r="CN19" s="1138"/>
      <c r="CO19" s="1138"/>
      <c r="CP19" s="1138"/>
      <c r="CQ19" s="1138"/>
      <c r="CR19" s="1138"/>
      <c r="CS19" s="1138"/>
      <c r="CT19" s="1138"/>
      <c r="CU19" s="1138"/>
      <c r="CV19" s="1138"/>
    </row>
    <row r="20" spans="2:100" s="1135" customFormat="1" ht="25.5" customHeight="1">
      <c r="B20" s="1538" t="s">
        <v>1184</v>
      </c>
      <c r="C20" s="1539"/>
      <c r="D20" s="1537" t="str">
        <f ca="1">"Annuities represented "&amp;TEXT(APCAnnuityPortfolioPerc,"#%")&amp;" of the client's total portfolio."</f>
        <v>Annuities represented 20% of the client's total portfolio.</v>
      </c>
      <c r="E20" s="1537"/>
      <c r="F20" s="1537"/>
      <c r="G20" s="1537"/>
      <c r="H20" s="1537"/>
      <c r="I20" s="1537"/>
      <c r="J20" s="1537"/>
      <c r="K20" s="1537"/>
      <c r="L20" s="1537"/>
      <c r="M20" s="1537"/>
      <c r="N20" s="1537"/>
      <c r="O20" s="1537"/>
      <c r="P20" s="1537"/>
      <c r="Q20" s="1537"/>
      <c r="R20" s="1537"/>
      <c r="S20" s="1537"/>
      <c r="T20" s="1537"/>
      <c r="U20" s="1537"/>
      <c r="V20" s="1537"/>
      <c r="W20" s="1537"/>
      <c r="X20" s="1537"/>
      <c r="Y20" s="1537"/>
      <c r="Z20" s="1537"/>
      <c r="AA20" s="1537"/>
      <c r="AB20" s="1537"/>
      <c r="AC20" s="1537"/>
      <c r="AD20" s="1537"/>
      <c r="AE20" s="1537"/>
      <c r="AF20" s="1537"/>
      <c r="AG20" s="1537"/>
      <c r="AH20" s="1537"/>
      <c r="AI20" s="1537"/>
      <c r="AJ20" s="1537"/>
      <c r="AK20" s="1537"/>
      <c r="AL20" s="1537"/>
      <c r="AM20" s="1537"/>
      <c r="AN20" s="1537"/>
      <c r="AO20" s="1537"/>
      <c r="AP20" s="1537"/>
      <c r="AQ20" s="1537"/>
      <c r="AR20" s="1537"/>
      <c r="AS20" s="1537"/>
      <c r="AT20" s="1537"/>
      <c r="AU20" s="1537"/>
      <c r="AV20" s="1537"/>
      <c r="AW20" s="1537"/>
      <c r="AX20" s="1537"/>
      <c r="AY20" s="1537"/>
      <c r="AZ20" s="1537"/>
      <c r="BA20" s="1537"/>
      <c r="BB20" s="1537"/>
      <c r="BC20" s="1537"/>
      <c r="BD20" s="1537"/>
      <c r="BE20" s="1537"/>
      <c r="BF20" s="1537"/>
      <c r="BG20" s="1537"/>
      <c r="BH20" s="1537"/>
      <c r="BI20" s="1537"/>
      <c r="BJ20" s="1537"/>
      <c r="BK20" s="1537"/>
      <c r="BL20" s="1537"/>
      <c r="BM20" s="1537"/>
      <c r="BN20" s="1537"/>
      <c r="BO20" s="1537"/>
      <c r="BP20" s="1537"/>
      <c r="BQ20" s="1537"/>
      <c r="BR20" s="1537"/>
      <c r="BS20" s="1537"/>
      <c r="BT20" s="1537"/>
      <c r="BU20" s="1537"/>
      <c r="BV20" s="1537"/>
      <c r="BW20" s="1537"/>
      <c r="BX20" s="1537"/>
      <c r="BY20" s="1537"/>
      <c r="BZ20" s="1537"/>
      <c r="CA20" s="1537"/>
      <c r="CB20" s="1537"/>
      <c r="CC20" s="1537"/>
      <c r="CD20" s="1537"/>
      <c r="CE20" s="1537"/>
      <c r="CF20" s="1537"/>
      <c r="CG20" s="1537"/>
      <c r="CH20" s="1537"/>
      <c r="CI20" s="1537"/>
      <c r="CJ20" s="1537"/>
      <c r="CK20" s="1537"/>
      <c r="CL20" s="1537"/>
      <c r="CM20" s="1537"/>
      <c r="CN20" s="1537"/>
      <c r="CO20" s="1537"/>
      <c r="CP20" s="1537"/>
      <c r="CQ20" s="1537"/>
      <c r="CR20" s="1537"/>
      <c r="CS20" s="1537"/>
      <c r="CT20" s="1537"/>
      <c r="CU20" s="1537"/>
      <c r="CV20" s="1537"/>
    </row>
    <row r="21" spans="2:100" s="1135" customFormat="1" ht="3.75" customHeight="1"/>
    <row r="22" spans="2:100" s="1135" customFormat="1" ht="36" customHeight="1">
      <c r="B22" s="1538" t="s">
        <v>1184</v>
      </c>
      <c r="C22" s="1539"/>
      <c r="D22" s="1537" t="str">
        <f>IF(AND('Admin Settings'!N38=0,'Admin Settings'!N39=0),"",IF(AND('Admin Settings'!N47='Admin Settings'!N25,'Admin Settings'!N48='Admin Settings'!N26),"The illustrated outcomes have been achieved while maintaining your client's superannuation portfolio asset allocation target of "&amp;TEXT(ROUND('Admin Settings'!N25,3),"##%")&amp;" Growth/"&amp;TEXT(ROUND('Admin Settings'!N26,3),"##%")&amp;" Defensive.","The illustrated outcomes have been achieved while de-risking your client's superannuation portfolio asset allocation from "&amp;TEXT(ROUND('Admin Settings'!N25,3),"##%")&amp;" Growth/"&amp;TEXT(ROUND('Admin Settings'!N26,3),"##%")&amp;" Defensive to "&amp;ROUND('Admin Settings'!N47*100,0)&amp;"% Growth/"&amp;ROUND('Admin Settings'!N48*100,0)&amp;"% Defensive."))</f>
        <v>The illustrated outcomes have been achieved while maintaining your client's superannuation portfolio asset allocation target of 40% Growth/60% Defensive.</v>
      </c>
      <c r="E22" s="1537"/>
      <c r="F22" s="1537"/>
      <c r="G22" s="1537"/>
      <c r="H22" s="1537"/>
      <c r="I22" s="1537"/>
      <c r="J22" s="1537"/>
      <c r="K22" s="1537"/>
      <c r="L22" s="1537"/>
      <c r="M22" s="1537"/>
      <c r="N22" s="1537"/>
      <c r="O22" s="1537"/>
      <c r="P22" s="1537"/>
      <c r="Q22" s="1537"/>
      <c r="R22" s="1537"/>
      <c r="S22" s="1537"/>
      <c r="T22" s="1537"/>
      <c r="U22" s="1537"/>
      <c r="V22" s="1537"/>
      <c r="W22" s="1537"/>
      <c r="X22" s="1537"/>
      <c r="Y22" s="1537"/>
      <c r="Z22" s="1537"/>
      <c r="AA22" s="1537"/>
      <c r="AB22" s="1537"/>
      <c r="AC22" s="1537"/>
      <c r="AD22" s="1537"/>
      <c r="AE22" s="1537"/>
      <c r="AF22" s="1537"/>
      <c r="AG22" s="1537"/>
      <c r="AH22" s="1537"/>
      <c r="AI22" s="1537"/>
      <c r="AJ22" s="1537"/>
      <c r="AK22" s="1537"/>
      <c r="AL22" s="1537"/>
      <c r="AM22" s="1537"/>
      <c r="AN22" s="1537"/>
      <c r="AO22" s="1537"/>
      <c r="AP22" s="1537"/>
      <c r="AQ22" s="1537"/>
      <c r="AR22" s="1537"/>
      <c r="AS22" s="1537"/>
      <c r="AT22" s="1537"/>
      <c r="AU22" s="1537"/>
      <c r="AV22" s="1537"/>
      <c r="AW22" s="1537"/>
      <c r="AX22" s="1537"/>
      <c r="AY22" s="1537"/>
      <c r="AZ22" s="1537"/>
      <c r="BA22" s="1537"/>
      <c r="BB22" s="1537"/>
      <c r="BC22" s="1537"/>
      <c r="BD22" s="1537"/>
      <c r="BE22" s="1537"/>
      <c r="BF22" s="1537"/>
      <c r="BG22" s="1537"/>
      <c r="BH22" s="1537"/>
      <c r="BI22" s="1537"/>
      <c r="BJ22" s="1537"/>
      <c r="BK22" s="1537"/>
      <c r="BL22" s="1537"/>
      <c r="BM22" s="1537"/>
      <c r="BN22" s="1537"/>
      <c r="BO22" s="1537"/>
      <c r="BP22" s="1537"/>
      <c r="BQ22" s="1537"/>
      <c r="BR22" s="1537"/>
      <c r="BS22" s="1537"/>
      <c r="BT22" s="1537"/>
      <c r="BU22" s="1537"/>
      <c r="BV22" s="1537"/>
      <c r="BW22" s="1537"/>
      <c r="BX22" s="1537"/>
      <c r="BY22" s="1537"/>
      <c r="BZ22" s="1537"/>
      <c r="CA22" s="1537"/>
      <c r="CB22" s="1537"/>
      <c r="CC22" s="1537"/>
      <c r="CD22" s="1537"/>
      <c r="CE22" s="1537"/>
      <c r="CF22" s="1537"/>
      <c r="CG22" s="1537"/>
      <c r="CH22" s="1537"/>
      <c r="CI22" s="1537"/>
      <c r="CJ22" s="1537"/>
      <c r="CK22" s="1537"/>
      <c r="CL22" s="1537"/>
      <c r="CM22" s="1537"/>
      <c r="CN22" s="1537"/>
      <c r="CO22" s="1537"/>
      <c r="CP22" s="1537"/>
      <c r="CQ22" s="1537"/>
      <c r="CR22" s="1537"/>
      <c r="CS22" s="1537"/>
      <c r="CT22" s="1537"/>
      <c r="CU22" s="1537"/>
      <c r="CV22" s="1537"/>
    </row>
    <row r="23" spans="2:100" s="1135" customFormat="1" ht="25.5" customHeight="1">
      <c r="B23" s="1540" t="s">
        <v>1242</v>
      </c>
      <c r="C23" s="1540"/>
      <c r="D23" s="1540"/>
      <c r="E23" s="1540"/>
      <c r="F23" s="1540"/>
      <c r="G23" s="1540"/>
      <c r="H23" s="1540"/>
      <c r="I23" s="1540"/>
      <c r="J23" s="1540"/>
      <c r="K23" s="1540"/>
      <c r="L23" s="1540"/>
      <c r="M23" s="1540"/>
      <c r="N23" s="1540"/>
      <c r="O23" s="1540"/>
      <c r="P23" s="1540"/>
      <c r="Q23" s="1540"/>
      <c r="R23" s="1540"/>
      <c r="S23" s="1540"/>
      <c r="T23" s="1540"/>
      <c r="U23" s="1540"/>
      <c r="V23" s="1540"/>
      <c r="W23" s="1540"/>
      <c r="X23" s="1540"/>
      <c r="Y23" s="1540"/>
      <c r="Z23" s="1540"/>
      <c r="AA23" s="1540"/>
      <c r="AB23" s="1540"/>
      <c r="AC23" s="1540"/>
      <c r="AD23" s="1540"/>
      <c r="AE23" s="1540"/>
      <c r="AF23" s="1540"/>
      <c r="AG23" s="1540"/>
      <c r="AH23" s="1540"/>
      <c r="AI23" s="1540"/>
      <c r="AJ23" s="1540"/>
      <c r="AK23" s="1540"/>
      <c r="AL23" s="1540"/>
      <c r="AM23" s="1540"/>
      <c r="AN23" s="1540"/>
      <c r="AO23" s="1540"/>
      <c r="AP23" s="1540"/>
      <c r="AQ23" s="1540"/>
      <c r="AR23" s="1540"/>
      <c r="AS23" s="1540"/>
      <c r="AT23" s="1540"/>
      <c r="AU23" s="1540"/>
      <c r="AV23" s="1540"/>
      <c r="AW23" s="1540"/>
      <c r="AX23" s="1540"/>
      <c r="AY23" s="1540"/>
      <c r="AZ23" s="1540"/>
      <c r="BA23" s="1540"/>
      <c r="BB23" s="1540"/>
      <c r="BC23" s="1540"/>
      <c r="BD23" s="1540"/>
      <c r="BE23" s="1540"/>
      <c r="BF23" s="1540"/>
      <c r="BG23" s="1540"/>
      <c r="BH23" s="1540"/>
      <c r="BI23" s="1540"/>
      <c r="BJ23" s="1540"/>
      <c r="BK23" s="1540"/>
      <c r="BL23" s="1540"/>
      <c r="BM23" s="1540"/>
      <c r="BN23" s="1540"/>
      <c r="BO23" s="1540"/>
      <c r="BP23" s="1540"/>
      <c r="BQ23" s="1540"/>
      <c r="BR23" s="1540"/>
      <c r="BS23" s="1540"/>
      <c r="BT23" s="1540"/>
      <c r="BU23" s="1540"/>
      <c r="BV23" s="1540"/>
      <c r="BW23" s="1540"/>
      <c r="BX23" s="1540"/>
      <c r="BY23" s="1540"/>
      <c r="BZ23" s="1540"/>
      <c r="CA23" s="1540"/>
      <c r="CB23" s="1540"/>
      <c r="CC23" s="1540"/>
      <c r="CD23" s="1540"/>
      <c r="CE23" s="1540"/>
      <c r="CF23" s="1540"/>
      <c r="CG23" s="1540"/>
      <c r="CH23" s="1540"/>
      <c r="CI23" s="1540"/>
      <c r="CJ23" s="1540"/>
      <c r="CK23" s="1540"/>
      <c r="CL23" s="1540"/>
      <c r="CM23" s="1540"/>
      <c r="CN23" s="1540"/>
      <c r="CO23" s="1540"/>
      <c r="CP23" s="1540"/>
      <c r="CQ23" s="1540"/>
      <c r="CR23" s="1540"/>
      <c r="CS23" s="1540"/>
      <c r="CT23" s="1540"/>
      <c r="CU23" s="1540"/>
      <c r="CV23" s="1540"/>
    </row>
    <row r="24" spans="2:100" s="1135" customFormat="1" ht="12.75" customHeight="1"/>
    <row r="25" spans="2:100" s="1135" customFormat="1" ht="22.5" customHeight="1">
      <c r="B25" s="1543" t="s">
        <v>1196</v>
      </c>
      <c r="C25" s="1543"/>
      <c r="D25" s="1543"/>
      <c r="E25" s="1543"/>
      <c r="F25" s="1543"/>
      <c r="G25" s="1543"/>
      <c r="H25" s="1543"/>
      <c r="I25" s="1543"/>
      <c r="J25" s="1543"/>
      <c r="K25" s="1543"/>
      <c r="L25" s="1543"/>
      <c r="M25" s="1543"/>
      <c r="N25" s="1543"/>
      <c r="O25" s="1543"/>
      <c r="P25" s="1543"/>
      <c r="Q25" s="1543"/>
      <c r="R25" s="1543"/>
      <c r="S25" s="1543"/>
      <c r="T25" s="1543"/>
      <c r="U25" s="1543"/>
      <c r="V25" s="1543"/>
      <c r="W25" s="1543"/>
      <c r="X25" s="1543"/>
      <c r="Y25" s="1543"/>
      <c r="Z25" s="1543"/>
      <c r="AA25" s="1543"/>
      <c r="AB25" s="1543"/>
      <c r="AC25" s="1543"/>
      <c r="AD25" s="1543"/>
      <c r="AE25" s="1543"/>
      <c r="AF25" s="1543"/>
      <c r="AG25" s="1543"/>
      <c r="AH25" s="1543"/>
      <c r="AI25" s="1543"/>
      <c r="AJ25" s="1543"/>
      <c r="AK25" s="1543"/>
      <c r="AL25" s="1543"/>
      <c r="AM25" s="1543"/>
      <c r="AN25" s="1543"/>
      <c r="AO25" s="1543"/>
      <c r="AP25" s="1543"/>
      <c r="AQ25" s="1543"/>
      <c r="AR25" s="1543"/>
      <c r="AS25" s="1543"/>
      <c r="AT25" s="1543"/>
      <c r="AU25" s="1543"/>
      <c r="AV25" s="1543"/>
      <c r="AW25" s="1543"/>
      <c r="AX25" s="1543"/>
      <c r="AY25" s="1543"/>
      <c r="AZ25" s="1543"/>
      <c r="BA25" s="1543"/>
      <c r="BB25" s="1543"/>
      <c r="BC25" s="1543"/>
      <c r="BD25" s="1543"/>
      <c r="BE25" s="1543"/>
      <c r="BF25" s="1543"/>
      <c r="BG25" s="1543"/>
      <c r="BH25" s="1543"/>
      <c r="BI25" s="1543"/>
      <c r="BJ25" s="1543"/>
      <c r="BK25" s="1543"/>
      <c r="BL25" s="1543"/>
      <c r="BM25" s="1543"/>
      <c r="BN25" s="1543"/>
      <c r="BO25" s="1543"/>
      <c r="BP25" s="1543"/>
      <c r="BQ25" s="1543"/>
      <c r="BR25" s="1543"/>
      <c r="BS25" s="1543"/>
      <c r="BT25" s="1543"/>
      <c r="BU25" s="1543"/>
      <c r="BV25" s="1543"/>
      <c r="BW25" s="1543"/>
      <c r="BX25" s="1543"/>
      <c r="BY25" s="1543"/>
      <c r="BZ25" s="1543"/>
      <c r="CA25" s="1543"/>
      <c r="CB25" s="1543"/>
      <c r="CC25" s="1543"/>
      <c r="CD25" s="1543"/>
      <c r="CE25" s="1543"/>
      <c r="CF25" s="1543"/>
      <c r="CG25" s="1543"/>
      <c r="CH25" s="1543"/>
      <c r="CI25" s="1543"/>
      <c r="CJ25" s="1543"/>
      <c r="CK25" s="1543"/>
      <c r="CL25" s="1543"/>
      <c r="CM25" s="1543"/>
      <c r="CN25" s="1543"/>
      <c r="CO25" s="1543"/>
      <c r="CP25" s="1543"/>
      <c r="CQ25" s="1543"/>
      <c r="CR25" s="1543"/>
      <c r="CS25" s="1543"/>
      <c r="CT25" s="1543"/>
      <c r="CU25" s="1543"/>
      <c r="CV25" s="1543"/>
    </row>
    <row r="27" spans="2:100" s="1135" customFormat="1">
      <c r="B27" s="1542" t="s">
        <v>1200</v>
      </c>
      <c r="C27" s="1542"/>
      <c r="D27" s="1542"/>
      <c r="E27" s="1542"/>
      <c r="F27" s="1542"/>
      <c r="G27" s="1542"/>
      <c r="H27" s="1542"/>
      <c r="I27" s="1542"/>
      <c r="J27" s="1542"/>
      <c r="K27" s="1542"/>
      <c r="L27" s="1542"/>
      <c r="M27" s="1542"/>
      <c r="N27" s="1542"/>
      <c r="O27" s="1542"/>
      <c r="P27" s="1542"/>
      <c r="Q27" s="1542"/>
      <c r="R27" s="1542"/>
      <c r="S27" s="1542"/>
      <c r="T27" s="1542"/>
      <c r="U27" s="1542"/>
      <c r="V27" s="1542"/>
      <c r="W27" s="1542"/>
      <c r="X27" s="1542"/>
      <c r="Y27" s="1542"/>
      <c r="Z27" s="1542"/>
      <c r="AA27" s="1542"/>
      <c r="AB27" s="1542"/>
      <c r="AC27" s="1542"/>
      <c r="AD27" s="1542"/>
      <c r="AE27" s="1542"/>
      <c r="AF27" s="1542"/>
      <c r="AG27" s="1542"/>
      <c r="AH27" s="1542"/>
      <c r="AI27" s="1542"/>
      <c r="AJ27" s="1542"/>
      <c r="AK27" s="1542"/>
      <c r="AL27" s="1542"/>
      <c r="AM27" s="1542"/>
      <c r="AN27" s="1542"/>
      <c r="AO27" s="1542"/>
      <c r="AP27" s="1542"/>
      <c r="AQ27" s="1542"/>
      <c r="AR27" s="1542"/>
      <c r="AS27" s="1542"/>
      <c r="AT27" s="1542"/>
      <c r="AU27" s="1542"/>
      <c r="AV27" s="1542"/>
      <c r="AW27" s="1542"/>
      <c r="AX27" s="1542"/>
      <c r="AY27" s="1542"/>
      <c r="AZ27" s="1542"/>
      <c r="BA27" s="1542"/>
      <c r="BB27" s="1542"/>
      <c r="BC27" s="1542"/>
      <c r="BD27" s="1542"/>
      <c r="BE27" s="1542"/>
      <c r="BF27" s="1542"/>
      <c r="BG27" s="1542"/>
      <c r="BH27" s="1542"/>
      <c r="BI27" s="1542"/>
      <c r="BJ27" s="1542"/>
      <c r="BK27" s="1542"/>
      <c r="BL27" s="1542"/>
      <c r="BM27" s="1542"/>
      <c r="BN27" s="1542"/>
      <c r="BO27" s="1542"/>
      <c r="BP27" s="1542"/>
      <c r="BQ27" s="1542"/>
      <c r="BR27" s="1542"/>
      <c r="BS27" s="1542"/>
      <c r="BT27" s="1542"/>
      <c r="BU27" s="1542"/>
      <c r="BV27" s="1542"/>
      <c r="BW27" s="1542"/>
      <c r="BX27" s="1542"/>
      <c r="BY27" s="1542"/>
      <c r="BZ27" s="1542"/>
      <c r="CA27" s="1542"/>
      <c r="CB27" s="1542"/>
      <c r="CC27" s="1542"/>
      <c r="CD27" s="1542"/>
      <c r="CE27" s="1542"/>
      <c r="CF27" s="1542"/>
      <c r="CG27" s="1542"/>
      <c r="CH27" s="1542"/>
      <c r="CI27" s="1542"/>
      <c r="CJ27" s="1542"/>
      <c r="CK27" s="1542"/>
      <c r="CL27" s="1542"/>
      <c r="CM27" s="1542"/>
      <c r="CN27" s="1542"/>
      <c r="CO27" s="1542"/>
      <c r="CP27" s="1542"/>
      <c r="CQ27" s="1542"/>
      <c r="CR27" s="1542"/>
      <c r="CS27" s="1542"/>
      <c r="CT27" s="1542"/>
      <c r="CU27" s="1542"/>
      <c r="CV27" s="1542"/>
    </row>
    <row r="28" spans="2:100" s="1135" customFormat="1" ht="39.75" customHeight="1">
      <c r="B28" s="1541" t="str">
        <f>"The above outcomes are based on investing "&amp;TEXT('Admin Settings'!V86+'Admin Settings'!V87,"$#,###")&amp;" from "&amp;IF(AnnuityMoney="Account-Based Pension (super)","superannuation","the term deposit/cash")&amp;" into a Challenger Liquid Lifetime (regular income) annuity. "&amp;IF(AND(ChalLLAnnuityPerson1&gt;0,ChalLLAnnuityPerson2&gt;0),"Attached are quotes for the illustrated annuities.","Attached is a quote for the illustrated annuity.")&amp;" Details are shown below:"</f>
        <v>The above outcomes are based on investing $175,000 from superannuation into a Challenger Liquid Lifetime (regular income) annuity. Attached are quotes for the illustrated annuities. Details are shown below:</v>
      </c>
      <c r="C28" s="1541"/>
      <c r="D28" s="1541"/>
      <c r="E28" s="1541"/>
      <c r="F28" s="1541"/>
      <c r="G28" s="1541"/>
      <c r="H28" s="1541"/>
      <c r="I28" s="1541"/>
      <c r="J28" s="1541"/>
      <c r="K28" s="1541"/>
      <c r="L28" s="1541"/>
      <c r="M28" s="1541"/>
      <c r="N28" s="1541"/>
      <c r="O28" s="1541"/>
      <c r="P28" s="1541"/>
      <c r="Q28" s="1541"/>
      <c r="R28" s="1541"/>
      <c r="S28" s="1541"/>
      <c r="T28" s="1541"/>
      <c r="U28" s="1541"/>
      <c r="V28" s="1541"/>
      <c r="W28" s="1541"/>
      <c r="X28" s="1541"/>
      <c r="Y28" s="1541"/>
      <c r="Z28" s="1541"/>
      <c r="AA28" s="1541"/>
      <c r="AB28" s="1541"/>
      <c r="AC28" s="1541"/>
      <c r="AD28" s="1541"/>
      <c r="AE28" s="1541"/>
      <c r="AF28" s="1541"/>
      <c r="AG28" s="1541"/>
      <c r="AH28" s="1541"/>
      <c r="AI28" s="1541"/>
      <c r="AJ28" s="1541"/>
      <c r="AK28" s="1541"/>
      <c r="AL28" s="1541"/>
      <c r="AM28" s="1541"/>
      <c r="AN28" s="1541"/>
      <c r="AO28" s="1541"/>
      <c r="AP28" s="1541"/>
      <c r="AQ28" s="1541"/>
      <c r="AR28" s="1541"/>
      <c r="AS28" s="1541"/>
      <c r="AT28" s="1541"/>
      <c r="AU28" s="1541"/>
      <c r="AV28" s="1541"/>
      <c r="AW28" s="1541"/>
      <c r="AX28" s="1541"/>
      <c r="AY28" s="1541"/>
      <c r="AZ28" s="1541"/>
      <c r="BA28" s="1541"/>
      <c r="BB28" s="1541"/>
      <c r="BC28" s="1541"/>
      <c r="BD28" s="1541"/>
      <c r="BE28" s="1541"/>
      <c r="BF28" s="1541"/>
      <c r="BG28" s="1541"/>
      <c r="BH28" s="1541"/>
      <c r="BI28" s="1541"/>
      <c r="BJ28" s="1541"/>
      <c r="BK28" s="1541"/>
      <c r="BL28" s="1541"/>
      <c r="BM28" s="1541"/>
      <c r="BN28" s="1541"/>
      <c r="BO28" s="1541"/>
      <c r="BP28" s="1541"/>
      <c r="BQ28" s="1541"/>
      <c r="BR28" s="1541"/>
      <c r="BS28" s="1541"/>
      <c r="BT28" s="1541"/>
      <c r="BU28" s="1541"/>
      <c r="BV28" s="1541"/>
      <c r="BW28" s="1541"/>
      <c r="BX28" s="1541"/>
      <c r="BY28" s="1541"/>
      <c r="BZ28" s="1541"/>
      <c r="CA28" s="1541"/>
      <c r="CB28" s="1541"/>
      <c r="CC28" s="1541"/>
      <c r="CD28" s="1541"/>
      <c r="CE28" s="1541"/>
      <c r="CF28" s="1541"/>
      <c r="CG28" s="1541"/>
      <c r="CH28" s="1541"/>
      <c r="CI28" s="1541"/>
      <c r="CJ28" s="1541"/>
      <c r="CK28" s="1541"/>
      <c r="CL28" s="1541"/>
      <c r="CM28" s="1541"/>
      <c r="CN28" s="1541"/>
      <c r="CO28" s="1541"/>
      <c r="CP28" s="1541"/>
      <c r="CQ28" s="1541"/>
      <c r="CR28" s="1541"/>
      <c r="CS28" s="1541"/>
      <c r="CT28" s="1541"/>
      <c r="CU28" s="1541"/>
      <c r="CV28" s="1541"/>
    </row>
    <row r="29" spans="2:100" s="1135" customFormat="1" ht="9.75" customHeight="1"/>
    <row r="30" spans="2:100" s="1135" customFormat="1">
      <c r="AF30" s="1548" t="s">
        <v>1190</v>
      </c>
      <c r="AG30" s="1548"/>
      <c r="AH30" s="1548"/>
      <c r="AI30" s="1548"/>
      <c r="AJ30" s="1548"/>
      <c r="AK30" s="1548"/>
      <c r="AL30" s="1548"/>
      <c r="AM30" s="1548"/>
      <c r="AN30" s="1548"/>
      <c r="AO30" s="1548"/>
      <c r="AP30" s="1548"/>
      <c r="AQ30" s="1548"/>
      <c r="AR30" s="1548"/>
      <c r="AS30" s="1548"/>
      <c r="AT30" s="1548"/>
      <c r="AU30" s="1548"/>
      <c r="AV30" s="1548"/>
      <c r="AW30" s="1548"/>
      <c r="AX30" s="1548"/>
      <c r="AY30" s="1548"/>
      <c r="AZ30" s="1548"/>
      <c r="BB30" s="1535" t="str">
        <f ca="1">IF('Admin Settings'!$J$25="Person 1 only","Person 1",IF('Admin Settings'!$J$25="Person 2 only","Person 2","Person 1"))</f>
        <v>Person 1</v>
      </c>
      <c r="BC30" s="1535"/>
      <c r="BD30" s="1535"/>
      <c r="BE30" s="1535"/>
      <c r="BF30" s="1535"/>
      <c r="BG30" s="1535"/>
      <c r="BH30" s="1535"/>
      <c r="BI30" s="1535"/>
      <c r="BJ30" s="1535"/>
      <c r="BK30" s="1535"/>
      <c r="BL30" s="1535"/>
      <c r="BO30" s="1535" t="str">
        <f ca="1">IF('Age Pension Calculator'!V8="Single","",IF('Admin Settings'!$J$26="Person 1 only","Person 1",IF('Admin Settings'!$J$26="Person 2 only","Person 2","Person 2")))</f>
        <v>Person 1</v>
      </c>
      <c r="BP30" s="1535"/>
      <c r="BQ30" s="1535"/>
      <c r="BR30" s="1535"/>
      <c r="BS30" s="1535"/>
      <c r="BT30" s="1535"/>
      <c r="BU30" s="1535"/>
      <c r="BV30" s="1535"/>
      <c r="BW30" s="1535"/>
      <c r="BX30" s="1535"/>
      <c r="BY30" s="1535"/>
    </row>
    <row r="31" spans="2:100" s="1135" customFormat="1">
      <c r="Y31" s="1548" t="str">
        <f>IF(AnnuityMoney="Account-Based Pension (super)","Investment amount (rolled over)","Investment amount")</f>
        <v>Investment amount (rolled over)</v>
      </c>
      <c r="Z31" s="1548"/>
      <c r="AA31" s="1548"/>
      <c r="AB31" s="1548"/>
      <c r="AC31" s="1548"/>
      <c r="AD31" s="1548"/>
      <c r="AE31" s="1548"/>
      <c r="AF31" s="1548"/>
      <c r="AG31" s="1548"/>
      <c r="AH31" s="1548"/>
      <c r="AI31" s="1548"/>
      <c r="AJ31" s="1548"/>
      <c r="AK31" s="1548"/>
      <c r="AL31" s="1548"/>
      <c r="AM31" s="1548"/>
      <c r="AN31" s="1548"/>
      <c r="AO31" s="1548"/>
      <c r="AP31" s="1548"/>
      <c r="AQ31" s="1548"/>
      <c r="AR31" s="1548"/>
      <c r="AS31" s="1548"/>
      <c r="AT31" s="1548"/>
      <c r="AU31" s="1548"/>
      <c r="AV31" s="1548"/>
      <c r="AW31" s="1548"/>
      <c r="AX31" s="1548"/>
      <c r="AY31" s="1548"/>
      <c r="AZ31" s="1548"/>
      <c r="BB31" s="1536">
        <f>ChalLLAnnuityPerson1</f>
        <v>100000</v>
      </c>
      <c r="BC31" s="1536"/>
      <c r="BD31" s="1536"/>
      <c r="BE31" s="1536"/>
      <c r="BF31" s="1536"/>
      <c r="BG31" s="1536"/>
      <c r="BH31" s="1536"/>
      <c r="BI31" s="1536"/>
      <c r="BJ31" s="1536"/>
      <c r="BK31" s="1536"/>
      <c r="BL31" s="1536"/>
      <c r="BO31" s="1536">
        <f>IF('Age Pension Calculator'!V8="Single","",ChalLLAnnuityPerson2)</f>
        <v>75000</v>
      </c>
      <c r="BP31" s="1536"/>
      <c r="BQ31" s="1536"/>
      <c r="BR31" s="1536"/>
      <c r="BS31" s="1536"/>
      <c r="BT31" s="1536"/>
      <c r="BU31" s="1536"/>
      <c r="BV31" s="1536"/>
      <c r="BW31" s="1536"/>
      <c r="BX31" s="1536"/>
      <c r="BY31" s="1536"/>
    </row>
    <row r="32" spans="2:100" s="1135" customFormat="1">
      <c r="AF32" s="1548" t="s">
        <v>664</v>
      </c>
      <c r="AG32" s="1548"/>
      <c r="AH32" s="1548"/>
      <c r="AI32" s="1548"/>
      <c r="AJ32" s="1548"/>
      <c r="AK32" s="1548"/>
      <c r="AL32" s="1548"/>
      <c r="AM32" s="1548"/>
      <c r="AN32" s="1548"/>
      <c r="AO32" s="1548"/>
      <c r="AP32" s="1548"/>
      <c r="AQ32" s="1548"/>
      <c r="AR32" s="1548"/>
      <c r="AS32" s="1548"/>
      <c r="AT32" s="1548"/>
      <c r="AU32" s="1548"/>
      <c r="AV32" s="1548"/>
      <c r="AW32" s="1548"/>
      <c r="AX32" s="1548"/>
      <c r="AY32" s="1548"/>
      <c r="AZ32" s="1548"/>
      <c r="BB32" s="1141" t="str">
        <f>'Admin Settings'!I86</f>
        <v>Regular income</v>
      </c>
      <c r="BC32" s="1141"/>
      <c r="BD32" s="1141"/>
      <c r="BE32" s="1141"/>
      <c r="BF32" s="1141"/>
      <c r="BG32" s="1141"/>
      <c r="BH32" s="1141"/>
      <c r="BI32" s="1141"/>
      <c r="BJ32" s="1141"/>
      <c r="BK32" s="1141"/>
      <c r="BL32" s="1141"/>
      <c r="BM32" s="1141"/>
      <c r="BO32" s="1535" t="str">
        <f>IF('Age Pension Calculator'!V8="Single","",'Admin Settings'!I87)</f>
        <v>Regular income</v>
      </c>
      <c r="BP32" s="1535"/>
      <c r="BQ32" s="1535"/>
      <c r="BR32" s="1535"/>
      <c r="BS32" s="1535"/>
      <c r="BT32" s="1535"/>
      <c r="BU32" s="1535"/>
      <c r="BV32" s="1535"/>
      <c r="BW32" s="1535"/>
      <c r="BX32" s="1535"/>
      <c r="BY32" s="1535"/>
      <c r="BZ32" s="1535"/>
    </row>
    <row r="33" spans="2:100" s="1135" customFormat="1">
      <c r="AF33" s="1142"/>
      <c r="AG33" s="1142"/>
      <c r="AH33" s="1142"/>
      <c r="AI33" s="1142"/>
      <c r="AJ33" s="1142"/>
      <c r="AK33" s="1142"/>
      <c r="AL33" s="1142"/>
      <c r="AM33" s="1142"/>
      <c r="AN33" s="1142"/>
      <c r="AO33" s="1142"/>
      <c r="AP33" s="1142"/>
      <c r="AQ33" s="1142"/>
      <c r="AR33" s="1142"/>
      <c r="AS33" s="1142"/>
      <c r="AT33" s="1142"/>
      <c r="AU33" s="1142"/>
      <c r="AV33" s="1142"/>
      <c r="AW33" s="1142"/>
      <c r="AX33" s="1142"/>
      <c r="AY33" s="1142"/>
      <c r="AZ33" s="1142" t="s">
        <v>1193</v>
      </c>
      <c r="BB33" s="1551" t="str">
        <f>'Age Pension report'!O286</f>
        <v>Nil</v>
      </c>
      <c r="BC33" s="1535"/>
      <c r="BD33" s="1535"/>
      <c r="BE33" s="1535"/>
      <c r="BF33" s="1535"/>
      <c r="BG33" s="1535"/>
      <c r="BH33" s="1535"/>
      <c r="BI33" s="1535"/>
      <c r="BJ33" s="1535"/>
      <c r="BK33" s="1535"/>
      <c r="BL33" s="1535"/>
      <c r="BO33" s="1551" t="str">
        <f>IF('Age Pension Calculator'!V8="Single","",'Age Pension report'!V286)</f>
        <v>Nil</v>
      </c>
      <c r="BP33" s="1535"/>
      <c r="BQ33" s="1535"/>
      <c r="BR33" s="1535"/>
      <c r="BS33" s="1535"/>
      <c r="BT33" s="1535"/>
      <c r="BU33" s="1535"/>
      <c r="BV33" s="1535"/>
      <c r="BW33" s="1535"/>
      <c r="BX33" s="1535"/>
      <c r="BY33" s="1535"/>
    </row>
    <row r="34" spans="2:100" s="1135" customFormat="1">
      <c r="AF34" s="1548" t="s">
        <v>1191</v>
      </c>
      <c r="AG34" s="1548"/>
      <c r="AH34" s="1548"/>
      <c r="AI34" s="1548"/>
      <c r="AJ34" s="1548"/>
      <c r="AK34" s="1548"/>
      <c r="AL34" s="1548"/>
      <c r="AM34" s="1548"/>
      <c r="AN34" s="1548"/>
      <c r="AO34" s="1548"/>
      <c r="AP34" s="1548"/>
      <c r="AQ34" s="1548"/>
      <c r="AR34" s="1548"/>
      <c r="AS34" s="1548"/>
      <c r="AT34" s="1548"/>
      <c r="AU34" s="1548"/>
      <c r="AV34" s="1548"/>
      <c r="AW34" s="1548"/>
      <c r="AX34" s="1548"/>
      <c r="AY34" s="1548"/>
      <c r="AZ34" s="1548"/>
      <c r="BB34" s="1550">
        <f ca="1">'Admin Settings'!K86</f>
        <v>0.75</v>
      </c>
      <c r="BC34" s="1535"/>
      <c r="BD34" s="1535"/>
      <c r="BE34" s="1535"/>
      <c r="BF34" s="1535"/>
      <c r="BG34" s="1535"/>
      <c r="BH34" s="1535"/>
      <c r="BI34" s="1535"/>
      <c r="BJ34" s="1535"/>
      <c r="BK34" s="1535"/>
      <c r="BL34" s="1535"/>
      <c r="BO34" s="1550">
        <f ca="1">IF('Age Pension Calculator'!V8="Single","",'Admin Settings'!K87)</f>
        <v>0.75</v>
      </c>
      <c r="BP34" s="1535"/>
      <c r="BQ34" s="1535"/>
      <c r="BR34" s="1535"/>
      <c r="BS34" s="1535"/>
      <c r="BT34" s="1535"/>
      <c r="BU34" s="1535"/>
      <c r="BV34" s="1535"/>
      <c r="BW34" s="1535"/>
      <c r="BX34" s="1535"/>
      <c r="BY34" s="1535"/>
    </row>
    <row r="35" spans="2:100" s="1135" customFormat="1">
      <c r="AF35" s="1548" t="s">
        <v>669</v>
      </c>
      <c r="AG35" s="1548"/>
      <c r="AH35" s="1548"/>
      <c r="AI35" s="1548"/>
      <c r="AJ35" s="1548"/>
      <c r="AK35" s="1548"/>
      <c r="AL35" s="1548"/>
      <c r="AM35" s="1548"/>
      <c r="AN35" s="1548"/>
      <c r="AO35" s="1548"/>
      <c r="AP35" s="1548"/>
      <c r="AQ35" s="1548"/>
      <c r="AR35" s="1548"/>
      <c r="AS35" s="1548"/>
      <c r="AT35" s="1548"/>
      <c r="AU35" s="1548"/>
      <c r="AV35" s="1548"/>
      <c r="AW35" s="1548"/>
      <c r="AX35" s="1548"/>
      <c r="AY35" s="1548"/>
      <c r="AZ35" s="1548"/>
      <c r="BB35" s="1551">
        <f>'Admin Settings'!M86</f>
        <v>2.1999999999999999E-2</v>
      </c>
      <c r="BC35" s="1535"/>
      <c r="BD35" s="1535"/>
      <c r="BE35" s="1535"/>
      <c r="BF35" s="1535"/>
      <c r="BG35" s="1535"/>
      <c r="BH35" s="1535"/>
      <c r="BI35" s="1535"/>
      <c r="BJ35" s="1535"/>
      <c r="BK35" s="1535"/>
      <c r="BL35" s="1535"/>
      <c r="BO35" s="1551">
        <f>IF('Age Pension Calculator'!V8="Single","",'Admin Settings'!M87)</f>
        <v>2.1999999999999999E-2</v>
      </c>
      <c r="BP35" s="1535"/>
      <c r="BQ35" s="1535"/>
      <c r="BR35" s="1535"/>
      <c r="BS35" s="1535"/>
      <c r="BT35" s="1535"/>
      <c r="BU35" s="1535"/>
      <c r="BV35" s="1535"/>
      <c r="BW35" s="1535"/>
      <c r="BX35" s="1535"/>
      <c r="BY35" s="1535"/>
    </row>
    <row r="36" spans="2:100" s="1135" customFormat="1">
      <c r="BB36" s="1549" t="str">
        <f>IF(BB35=0,"","("&amp;TEXT(BB35*BB31,"$#,###")&amp;")")</f>
        <v>($2,200)</v>
      </c>
      <c r="BC36" s="1549"/>
      <c r="BD36" s="1549"/>
      <c r="BE36" s="1549"/>
      <c r="BF36" s="1549"/>
      <c r="BG36" s="1549"/>
      <c r="BH36" s="1549"/>
      <c r="BI36" s="1549"/>
      <c r="BJ36" s="1549"/>
      <c r="BK36" s="1549"/>
      <c r="BL36" s="1549"/>
      <c r="BM36" s="1549"/>
      <c r="BN36" s="1549"/>
      <c r="BO36" s="1549" t="str">
        <f>IF('Age Pension Calculator'!V8="Single","",IF(BO35=0,"","("&amp;TEXT(BO35*BO31,"$#,###")&amp;")"))</f>
        <v>($1,650)</v>
      </c>
      <c r="BP36" s="1549"/>
      <c r="BQ36" s="1549"/>
      <c r="BR36" s="1549"/>
      <c r="BS36" s="1549"/>
      <c r="BT36" s="1549"/>
      <c r="BU36" s="1549"/>
      <c r="BV36" s="1549"/>
      <c r="BW36" s="1549"/>
      <c r="BX36" s="1549"/>
      <c r="BY36" s="1549"/>
      <c r="BZ36" s="1549"/>
      <c r="CA36" s="1549"/>
    </row>
    <row r="37" spans="2:100" s="1135" customFormat="1" ht="9" customHeight="1"/>
    <row r="38" spans="2:100" s="1135" customFormat="1">
      <c r="B38" s="1542" t="s">
        <v>1199</v>
      </c>
      <c r="C38" s="1542"/>
      <c r="D38" s="1542"/>
      <c r="E38" s="1542"/>
      <c r="F38" s="1542"/>
      <c r="G38" s="1542"/>
      <c r="H38" s="1542"/>
      <c r="I38" s="1542"/>
      <c r="J38" s="1542"/>
      <c r="K38" s="1542"/>
      <c r="L38" s="1542"/>
      <c r="M38" s="1542"/>
      <c r="N38" s="1542"/>
      <c r="O38" s="1542"/>
      <c r="P38" s="1542"/>
      <c r="Q38" s="1542"/>
      <c r="R38" s="1542"/>
      <c r="S38" s="1542"/>
      <c r="T38" s="1542"/>
      <c r="U38" s="1542"/>
      <c r="V38" s="1542"/>
      <c r="W38" s="1542"/>
      <c r="X38" s="1542"/>
      <c r="Y38" s="1542"/>
      <c r="Z38" s="1542"/>
      <c r="AA38" s="1542"/>
      <c r="AB38" s="1542"/>
      <c r="AC38" s="1542"/>
      <c r="AD38" s="1542"/>
      <c r="AE38" s="1542"/>
      <c r="AF38" s="1542"/>
      <c r="AG38" s="1542"/>
      <c r="AH38" s="1542"/>
      <c r="AI38" s="1542"/>
      <c r="AJ38" s="1542"/>
      <c r="AK38" s="1542"/>
      <c r="AL38" s="1542"/>
      <c r="AM38" s="1542"/>
      <c r="AN38" s="1542"/>
      <c r="AO38" s="1542"/>
      <c r="AP38" s="1542"/>
      <c r="AQ38" s="1542"/>
      <c r="AR38" s="1542"/>
      <c r="AS38" s="1542"/>
      <c r="AT38" s="1542"/>
      <c r="AU38" s="1542"/>
      <c r="AV38" s="1542"/>
      <c r="AW38" s="1542"/>
      <c r="AX38" s="1542"/>
      <c r="AY38" s="1542"/>
      <c r="AZ38" s="1542"/>
      <c r="BA38" s="1542"/>
      <c r="BB38" s="1542"/>
      <c r="BC38" s="1542"/>
      <c r="BD38" s="1542"/>
      <c r="BE38" s="1542"/>
      <c r="BF38" s="1542"/>
      <c r="BG38" s="1542"/>
      <c r="BH38" s="1542"/>
      <c r="BI38" s="1542"/>
      <c r="BJ38" s="1542"/>
      <c r="BK38" s="1542"/>
      <c r="BL38" s="1542"/>
      <c r="BM38" s="1542"/>
      <c r="BN38" s="1542"/>
      <c r="BO38" s="1542"/>
      <c r="BP38" s="1542"/>
      <c r="BQ38" s="1542"/>
      <c r="BR38" s="1542"/>
      <c r="BS38" s="1542"/>
      <c r="BT38" s="1542"/>
      <c r="BU38" s="1542"/>
      <c r="BV38" s="1542"/>
      <c r="BW38" s="1542"/>
      <c r="BX38" s="1542"/>
      <c r="BY38" s="1542"/>
      <c r="BZ38" s="1542"/>
      <c r="CA38" s="1542"/>
      <c r="CB38" s="1542"/>
      <c r="CC38" s="1542"/>
      <c r="CD38" s="1542"/>
      <c r="CE38" s="1542"/>
      <c r="CF38" s="1542"/>
      <c r="CG38" s="1542"/>
      <c r="CH38" s="1542"/>
      <c r="CI38" s="1542"/>
      <c r="CJ38" s="1542"/>
      <c r="CK38" s="1542"/>
      <c r="CL38" s="1542"/>
      <c r="CM38" s="1542"/>
      <c r="CN38" s="1542"/>
      <c r="CO38" s="1542"/>
      <c r="CP38" s="1542"/>
      <c r="CQ38" s="1542"/>
      <c r="CR38" s="1542"/>
      <c r="CS38" s="1542"/>
      <c r="CT38" s="1542"/>
      <c r="CU38" s="1542"/>
      <c r="CV38" s="1542"/>
    </row>
    <row r="39" spans="2:100" s="1135" customFormat="1" ht="23.25" customHeight="1">
      <c r="B39" s="1537" t="str">
        <f>IF('Admin Settings'!E38+'Admin Settings'!E39=0,"There are no Account-Based Pensions in the illustration.",IF('Age Pension Calculator'!V8="Single","The above outcomes are based on having "&amp;TEXT('Admin Settings'!E38+'Admin Settings'!E39,"$#,###")&amp;" of the Account-Based Pension (super) structured as follows:","The above outcomes are based on having "&amp;TEXT('Admin Settings'!E38+'Admin Settings'!E39,"$#,###")&amp;" of the Account-Based Pensions (super) structured as follows:"))</f>
        <v>The above outcomes are based on having $175,000 of the Account-Based Pensions (super) structured as follows:</v>
      </c>
      <c r="C39" s="1537"/>
      <c r="D39" s="1537"/>
      <c r="E39" s="1537"/>
      <c r="F39" s="1537"/>
      <c r="G39" s="1537"/>
      <c r="H39" s="1537"/>
      <c r="I39" s="1537"/>
      <c r="J39" s="1537"/>
      <c r="K39" s="1537"/>
      <c r="L39" s="1537"/>
      <c r="M39" s="1537"/>
      <c r="N39" s="1537"/>
      <c r="O39" s="1537"/>
      <c r="P39" s="1537"/>
      <c r="Q39" s="1537"/>
      <c r="R39" s="1537"/>
      <c r="S39" s="1537"/>
      <c r="T39" s="1537"/>
      <c r="U39" s="1537"/>
      <c r="V39" s="1537"/>
      <c r="W39" s="1537"/>
      <c r="X39" s="1537"/>
      <c r="Y39" s="1537"/>
      <c r="Z39" s="1537"/>
      <c r="AA39" s="1537"/>
      <c r="AB39" s="1537"/>
      <c r="AC39" s="1537"/>
      <c r="AD39" s="1537"/>
      <c r="AE39" s="1537"/>
      <c r="AF39" s="1537"/>
      <c r="AG39" s="1537"/>
      <c r="AH39" s="1537"/>
      <c r="AI39" s="1537"/>
      <c r="AJ39" s="1537"/>
      <c r="AK39" s="1537"/>
      <c r="AL39" s="1537"/>
      <c r="AM39" s="1537"/>
      <c r="AN39" s="1537"/>
      <c r="AO39" s="1537"/>
      <c r="AP39" s="1537"/>
      <c r="AQ39" s="1537"/>
      <c r="AR39" s="1537"/>
      <c r="AS39" s="1537"/>
      <c r="AT39" s="1537"/>
      <c r="AU39" s="1537"/>
      <c r="AV39" s="1537"/>
      <c r="AW39" s="1537"/>
      <c r="AX39" s="1537"/>
      <c r="AY39" s="1537"/>
      <c r="AZ39" s="1537"/>
      <c r="BA39" s="1537"/>
      <c r="BB39" s="1537"/>
      <c r="BC39" s="1537"/>
      <c r="BD39" s="1537"/>
      <c r="BE39" s="1537"/>
      <c r="BF39" s="1537"/>
      <c r="BG39" s="1537"/>
      <c r="BH39" s="1537"/>
      <c r="BI39" s="1537"/>
      <c r="BJ39" s="1537"/>
      <c r="BK39" s="1537"/>
      <c r="BL39" s="1537"/>
      <c r="BM39" s="1537"/>
      <c r="BN39" s="1537"/>
      <c r="BO39" s="1537"/>
      <c r="BP39" s="1537"/>
      <c r="BQ39" s="1537"/>
      <c r="BR39" s="1537"/>
      <c r="BS39" s="1537"/>
      <c r="BT39" s="1537"/>
      <c r="BU39" s="1537"/>
      <c r="BV39" s="1537"/>
      <c r="BW39" s="1537"/>
      <c r="BX39" s="1537"/>
      <c r="BY39" s="1537"/>
      <c r="BZ39" s="1537"/>
      <c r="CA39" s="1537"/>
      <c r="CB39" s="1537"/>
      <c r="CC39" s="1537"/>
      <c r="CD39" s="1537"/>
      <c r="CE39" s="1537"/>
      <c r="CF39" s="1537"/>
      <c r="CG39" s="1537"/>
      <c r="CH39" s="1537"/>
      <c r="CI39" s="1537"/>
      <c r="CJ39" s="1537"/>
      <c r="CK39" s="1537"/>
      <c r="CL39" s="1537"/>
      <c r="CM39" s="1537"/>
      <c r="CN39" s="1537"/>
      <c r="CO39" s="1537"/>
      <c r="CP39" s="1537"/>
      <c r="CQ39" s="1537"/>
      <c r="CR39" s="1537"/>
      <c r="CS39" s="1537"/>
      <c r="CT39" s="1537"/>
      <c r="CU39" s="1537"/>
      <c r="CV39" s="1537"/>
    </row>
    <row r="40" spans="2:100" s="1135" customFormat="1" ht="11.25" customHeight="1"/>
    <row r="41" spans="2:100" s="1135" customFormat="1">
      <c r="AE41" s="1548" t="s">
        <v>1190</v>
      </c>
      <c r="AF41" s="1548"/>
      <c r="AG41" s="1548"/>
      <c r="AH41" s="1548"/>
      <c r="AI41" s="1548"/>
      <c r="AJ41" s="1548"/>
      <c r="AK41" s="1548"/>
      <c r="AL41" s="1548"/>
      <c r="AM41" s="1548"/>
      <c r="AN41" s="1548"/>
      <c r="AO41" s="1548"/>
      <c r="AP41" s="1548"/>
      <c r="AQ41" s="1548"/>
      <c r="AR41" s="1548"/>
      <c r="AS41" s="1548"/>
      <c r="AT41" s="1548"/>
      <c r="AU41" s="1548"/>
      <c r="AV41" s="1548"/>
      <c r="AW41" s="1548"/>
      <c r="AX41" s="1548"/>
      <c r="AY41" s="1548"/>
      <c r="BB41" s="1535" t="str">
        <f ca="1">BB30</f>
        <v>Person 1</v>
      </c>
      <c r="BC41" s="1535"/>
      <c r="BD41" s="1535"/>
      <c r="BE41" s="1535"/>
      <c r="BF41" s="1535"/>
      <c r="BG41" s="1535"/>
      <c r="BH41" s="1535"/>
      <c r="BI41" s="1535"/>
      <c r="BJ41" s="1535"/>
      <c r="BK41" s="1535"/>
      <c r="BL41" s="1535"/>
      <c r="BO41" s="1535" t="str">
        <f ca="1">BO30</f>
        <v>Person 1</v>
      </c>
      <c r="BP41" s="1535"/>
      <c r="BQ41" s="1535"/>
      <c r="BR41" s="1535"/>
      <c r="BS41" s="1535"/>
      <c r="BT41" s="1535"/>
      <c r="BU41" s="1535"/>
      <c r="BV41" s="1535"/>
      <c r="BW41" s="1535"/>
      <c r="BX41" s="1535"/>
      <c r="BY41" s="1535"/>
    </row>
    <row r="42" spans="2:100" s="1135" customFormat="1">
      <c r="W42" s="1552" t="s">
        <v>1214</v>
      </c>
      <c r="X42" s="1552"/>
      <c r="Y42" s="1552"/>
      <c r="Z42" s="1552"/>
      <c r="AA42" s="1552"/>
      <c r="AB42" s="1552"/>
      <c r="AC42" s="1552"/>
      <c r="AD42" s="1552"/>
      <c r="AE42" s="1552"/>
      <c r="AF42" s="1552"/>
      <c r="AG42" s="1552"/>
      <c r="AH42" s="1552"/>
      <c r="AI42" s="1552"/>
      <c r="AJ42" s="1552"/>
      <c r="AK42" s="1552"/>
      <c r="AL42" s="1552"/>
      <c r="AM42" s="1552"/>
      <c r="AN42" s="1552"/>
      <c r="AO42" s="1552"/>
      <c r="AP42" s="1552"/>
      <c r="AQ42" s="1552"/>
      <c r="AR42" s="1552"/>
      <c r="AS42" s="1552"/>
      <c r="AT42" s="1552"/>
      <c r="AU42" s="1552"/>
      <c r="AV42" s="1552"/>
      <c r="AW42" s="1552"/>
      <c r="AX42" s="1552"/>
      <c r="AY42" s="1552"/>
      <c r="BB42" s="1536">
        <f>'Admin Settings'!E38</f>
        <v>100000</v>
      </c>
      <c r="BC42" s="1536"/>
      <c r="BD42" s="1536"/>
      <c r="BE42" s="1536"/>
      <c r="BF42" s="1536"/>
      <c r="BG42" s="1536"/>
      <c r="BH42" s="1536"/>
      <c r="BI42" s="1536"/>
      <c r="BJ42" s="1536"/>
      <c r="BK42" s="1536"/>
      <c r="BL42" s="1536"/>
      <c r="BO42" s="1536">
        <f>IF('Age Pension Calculator'!V8="Single","",'Admin Settings'!E39)</f>
        <v>75000</v>
      </c>
      <c r="BP42" s="1536"/>
      <c r="BQ42" s="1536"/>
      <c r="BR42" s="1536"/>
      <c r="BS42" s="1536"/>
      <c r="BT42" s="1536"/>
      <c r="BU42" s="1536"/>
      <c r="BV42" s="1536"/>
      <c r="BW42" s="1536"/>
      <c r="BX42" s="1536"/>
      <c r="BY42" s="1536"/>
    </row>
    <row r="43" spans="2:100" s="1135" customFormat="1">
      <c r="AE43" s="1548" t="s">
        <v>1192</v>
      </c>
      <c r="AF43" s="1548"/>
      <c r="AG43" s="1548"/>
      <c r="AH43" s="1548"/>
      <c r="AI43" s="1548"/>
      <c r="AJ43" s="1548"/>
      <c r="AK43" s="1548"/>
      <c r="AL43" s="1548"/>
      <c r="AM43" s="1548"/>
      <c r="AN43" s="1548"/>
      <c r="AO43" s="1548"/>
      <c r="AP43" s="1548"/>
      <c r="AQ43" s="1548"/>
      <c r="AR43" s="1548"/>
      <c r="AS43" s="1548"/>
      <c r="AT43" s="1548"/>
      <c r="AU43" s="1548"/>
      <c r="AV43" s="1548"/>
      <c r="AW43" s="1548"/>
      <c r="AX43" s="1548"/>
      <c r="AY43" s="1548"/>
      <c r="BB43" s="1549">
        <f ca="1">IF(BB42=0,0,IF('Deterministic Output'!R7&lt;BB42*'Admin Settings'!E11,"Minimum",'Deterministic Output'!R7))</f>
        <v>25109.467475538157</v>
      </c>
      <c r="BC43" s="1549"/>
      <c r="BD43" s="1549"/>
      <c r="BE43" s="1549"/>
      <c r="BF43" s="1549"/>
      <c r="BG43" s="1549"/>
      <c r="BH43" s="1549"/>
      <c r="BI43" s="1549"/>
      <c r="BJ43" s="1549"/>
      <c r="BK43" s="1549"/>
      <c r="BL43" s="1549"/>
      <c r="BO43" s="1549">
        <f ca="1">IF('Age Pension Calculator'!V8="Single","",IF(BO42=0,0,IF('Deterministic Output'!R9&lt;BO42*'Admin Settings'!F11,"Minimum",'Deterministic Output'!R9)))</f>
        <v>18832.100606653621</v>
      </c>
      <c r="BP43" s="1549"/>
      <c r="BQ43" s="1549"/>
      <c r="BR43" s="1549"/>
      <c r="BS43" s="1549"/>
      <c r="BT43" s="1549"/>
      <c r="BU43" s="1549"/>
      <c r="BV43" s="1549"/>
      <c r="BW43" s="1549"/>
      <c r="BX43" s="1549"/>
      <c r="BY43" s="1549"/>
    </row>
    <row r="44" spans="2:100" s="1135" customFormat="1" ht="27.75" customHeight="1">
      <c r="AE44" s="1548" t="s">
        <v>1194</v>
      </c>
      <c r="AF44" s="1548"/>
      <c r="AG44" s="1548"/>
      <c r="AH44" s="1548"/>
      <c r="AI44" s="1548"/>
      <c r="AJ44" s="1548"/>
      <c r="AK44" s="1548"/>
      <c r="AL44" s="1548"/>
      <c r="AM44" s="1548"/>
      <c r="AN44" s="1548"/>
      <c r="AO44" s="1548"/>
      <c r="AP44" s="1548"/>
      <c r="AQ44" s="1548"/>
      <c r="AR44" s="1548"/>
      <c r="AS44" s="1548"/>
      <c r="AT44" s="1548"/>
      <c r="AU44" s="1548"/>
      <c r="AV44" s="1548"/>
      <c r="AW44" s="1548"/>
      <c r="AX44" s="1548"/>
      <c r="AY44" s="1548"/>
      <c r="BB44" s="1551">
        <f>'Admin Settings'!N38</f>
        <v>0.8</v>
      </c>
      <c r="BC44" s="1551"/>
      <c r="BD44" s="1551"/>
      <c r="BE44" s="1551"/>
      <c r="BF44" s="1551"/>
      <c r="BG44" s="1551"/>
      <c r="BH44" s="1551"/>
      <c r="BI44" s="1551"/>
      <c r="BJ44" s="1551"/>
      <c r="BK44" s="1551"/>
      <c r="BL44" s="1551"/>
      <c r="BO44" s="1551">
        <f>IF('Age Pension Calculator'!V8="Single","",BB44)</f>
        <v>0.8</v>
      </c>
      <c r="BP44" s="1551"/>
      <c r="BQ44" s="1551"/>
      <c r="BR44" s="1551"/>
      <c r="BS44" s="1551"/>
      <c r="BT44" s="1551"/>
      <c r="BU44" s="1551"/>
      <c r="BV44" s="1551"/>
      <c r="BW44" s="1551"/>
      <c r="BX44" s="1551"/>
      <c r="BY44" s="1551"/>
    </row>
    <row r="45" spans="2:100" s="1135" customFormat="1">
      <c r="BB45" s="1536" t="str">
        <f>"("&amp;TEXT(BB44*BB42,"$#,###")&amp;")"</f>
        <v>($80,000)</v>
      </c>
      <c r="BC45" s="1536"/>
      <c r="BD45" s="1536"/>
      <c r="BE45" s="1536"/>
      <c r="BF45" s="1536"/>
      <c r="BG45" s="1536"/>
      <c r="BH45" s="1536"/>
      <c r="BI45" s="1536"/>
      <c r="BJ45" s="1536"/>
      <c r="BK45" s="1536"/>
      <c r="BL45" s="1536"/>
      <c r="BO45" s="1536" t="str">
        <f>IF('Age Pension Calculator'!V8="Single","","("&amp;TEXT(BO44*BO42,"$#,###")&amp;")")</f>
        <v>($60,000)</v>
      </c>
      <c r="BP45" s="1535"/>
      <c r="BQ45" s="1535"/>
      <c r="BR45" s="1535"/>
      <c r="BS45" s="1535"/>
      <c r="BT45" s="1535"/>
      <c r="BU45" s="1535"/>
      <c r="BV45" s="1535"/>
      <c r="BW45" s="1535"/>
      <c r="BX45" s="1535"/>
      <c r="BY45" s="1535"/>
    </row>
    <row r="46" spans="2:100" s="1135" customFormat="1">
      <c r="AE46" s="1548" t="s">
        <v>1195</v>
      </c>
      <c r="AF46" s="1548"/>
      <c r="AG46" s="1548"/>
      <c r="AH46" s="1548"/>
      <c r="AI46" s="1548"/>
      <c r="AJ46" s="1548"/>
      <c r="AK46" s="1548"/>
      <c r="AL46" s="1548"/>
      <c r="AM46" s="1548"/>
      <c r="AN46" s="1548"/>
      <c r="AO46" s="1548"/>
      <c r="AP46" s="1548"/>
      <c r="AQ46" s="1548"/>
      <c r="AR46" s="1548"/>
      <c r="AS46" s="1548"/>
      <c r="AT46" s="1548"/>
      <c r="AU46" s="1548"/>
      <c r="AV46" s="1548"/>
      <c r="AW46" s="1548"/>
      <c r="AX46" s="1548"/>
      <c r="AY46" s="1548"/>
      <c r="BB46" s="1551">
        <f>'Admin Settings'!N39</f>
        <v>0.2</v>
      </c>
      <c r="BC46" s="1535"/>
      <c r="BD46" s="1535"/>
      <c r="BE46" s="1535"/>
      <c r="BF46" s="1535"/>
      <c r="BG46" s="1535"/>
      <c r="BH46" s="1535"/>
      <c r="BI46" s="1535"/>
      <c r="BJ46" s="1535"/>
      <c r="BK46" s="1535"/>
      <c r="BL46" s="1535"/>
      <c r="BO46" s="1551">
        <f>IF('Age Pension Calculator'!V8="Single","",BB46)</f>
        <v>0.2</v>
      </c>
      <c r="BP46" s="1535"/>
      <c r="BQ46" s="1535"/>
      <c r="BR46" s="1535"/>
      <c r="BS46" s="1535"/>
      <c r="BT46" s="1535"/>
      <c r="BU46" s="1535"/>
      <c r="BV46" s="1535"/>
      <c r="BW46" s="1535"/>
      <c r="BX46" s="1535"/>
      <c r="BY46" s="1535"/>
    </row>
    <row r="47" spans="2:100" s="1135" customFormat="1">
      <c r="BB47" s="1536" t="str">
        <f>"("&amp;TEXT(BB46*BB42,"$#,###")&amp;")"</f>
        <v>($20,000)</v>
      </c>
      <c r="BC47" s="1536"/>
      <c r="BD47" s="1536"/>
      <c r="BE47" s="1536"/>
      <c r="BF47" s="1536"/>
      <c r="BG47" s="1536"/>
      <c r="BH47" s="1536"/>
      <c r="BI47" s="1536"/>
      <c r="BJ47" s="1536"/>
      <c r="BK47" s="1536"/>
      <c r="BL47" s="1536"/>
      <c r="BO47" s="1536" t="str">
        <f>IF('Age Pension Calculator'!V8="Single","","("&amp;TEXT(BO46*BO42,"$#,###")&amp;")")</f>
        <v>($15,000)</v>
      </c>
      <c r="BP47" s="1536"/>
      <c r="BQ47" s="1536"/>
      <c r="BR47" s="1536"/>
      <c r="BS47" s="1536"/>
      <c r="BT47" s="1536"/>
      <c r="BU47" s="1536"/>
      <c r="BV47" s="1536"/>
      <c r="BW47" s="1536"/>
      <c r="BX47" s="1536"/>
    </row>
    <row r="49" spans="2:100" s="1135" customFormat="1">
      <c r="B49" s="1545"/>
      <c r="C49" s="1545"/>
      <c r="D49" s="1545"/>
      <c r="E49" s="1545"/>
      <c r="F49" s="1545"/>
      <c r="G49" s="1545"/>
      <c r="H49" s="1545"/>
      <c r="I49" s="1545"/>
      <c r="J49" s="1545"/>
      <c r="K49" s="1545"/>
      <c r="L49" s="1545"/>
      <c r="M49" s="1545"/>
      <c r="N49" s="1545"/>
      <c r="O49" s="1545"/>
      <c r="P49" s="1545"/>
      <c r="Q49" s="1545"/>
      <c r="R49" s="1545"/>
      <c r="S49" s="1545"/>
      <c r="T49" s="1545"/>
      <c r="U49" s="1545"/>
      <c r="V49" s="1545"/>
      <c r="W49" s="1545"/>
      <c r="X49" s="1545"/>
      <c r="Y49" s="1545"/>
      <c r="Z49" s="1545"/>
      <c r="AA49" s="1545"/>
      <c r="AB49" s="1545"/>
      <c r="AC49" s="1545"/>
      <c r="AD49" s="1545"/>
      <c r="AE49" s="1545"/>
      <c r="AF49" s="1545"/>
      <c r="AG49" s="1545"/>
      <c r="AH49" s="1545"/>
      <c r="AI49" s="1545"/>
      <c r="AJ49" s="1545"/>
      <c r="AK49" s="1545"/>
      <c r="AL49" s="1545"/>
      <c r="AM49" s="1545"/>
      <c r="AN49" s="1545"/>
      <c r="AO49" s="1545"/>
      <c r="AP49" s="1545"/>
      <c r="AQ49" s="1545"/>
      <c r="AR49" s="1545"/>
      <c r="AS49" s="1545"/>
      <c r="AT49" s="1545"/>
      <c r="AU49" s="1545"/>
      <c r="AV49" s="1545"/>
      <c r="AW49" s="1545"/>
      <c r="AX49" s="1545"/>
      <c r="AY49" s="1545"/>
      <c r="AZ49" s="1545"/>
      <c r="BA49" s="1545"/>
      <c r="BB49" s="1545"/>
      <c r="BC49" s="1545"/>
      <c r="BD49" s="1545"/>
      <c r="BE49" s="1545"/>
      <c r="BF49" s="1545"/>
      <c r="BG49" s="1545"/>
      <c r="BH49" s="1545"/>
      <c r="BI49" s="1545"/>
      <c r="BJ49" s="1545"/>
      <c r="BK49" s="1545"/>
      <c r="BL49" s="1545"/>
      <c r="BM49" s="1545"/>
      <c r="BN49" s="1545"/>
      <c r="BO49" s="1545"/>
      <c r="BP49" s="1545"/>
      <c r="BQ49" s="1545"/>
      <c r="BR49" s="1545"/>
      <c r="BS49" s="1545"/>
      <c r="BT49" s="1545"/>
      <c r="BU49" s="1545"/>
      <c r="BV49" s="1545"/>
      <c r="BW49" s="1545"/>
      <c r="BX49" s="1545"/>
      <c r="BY49" s="1545"/>
      <c r="BZ49" s="1545"/>
      <c r="CA49" s="1545"/>
      <c r="CB49" s="1545"/>
      <c r="CC49" s="1545"/>
      <c r="CD49" s="1545"/>
      <c r="CE49" s="1545"/>
      <c r="CF49" s="1545"/>
      <c r="CG49" s="1545"/>
      <c r="CH49" s="1545"/>
      <c r="CI49" s="1545"/>
      <c r="CJ49" s="1545"/>
      <c r="CK49" s="1545"/>
      <c r="CL49" s="1545"/>
      <c r="CM49" s="1545"/>
      <c r="CN49" s="1545"/>
      <c r="CO49" s="1545"/>
      <c r="CP49" s="1545"/>
      <c r="CQ49" s="1545"/>
      <c r="CR49" s="1545"/>
      <c r="CS49" s="1545"/>
      <c r="CT49" s="1545"/>
      <c r="CU49" s="1545"/>
      <c r="CV49" s="1545"/>
    </row>
    <row r="51" spans="2:100" s="1135" customFormat="1" ht="34.5" customHeight="1">
      <c r="B51" s="1540"/>
      <c r="C51" s="1535"/>
      <c r="D51" s="1535"/>
      <c r="E51" s="1535"/>
      <c r="F51" s="1535"/>
      <c r="G51" s="1535"/>
      <c r="H51" s="1535"/>
      <c r="I51" s="1535"/>
      <c r="J51" s="1535"/>
      <c r="K51" s="1535"/>
      <c r="L51" s="1535"/>
      <c r="M51" s="1535"/>
      <c r="N51" s="1535"/>
      <c r="O51" s="1535"/>
      <c r="P51" s="1535"/>
      <c r="Q51" s="1535"/>
      <c r="R51" s="1535"/>
      <c r="S51" s="1535"/>
      <c r="T51" s="1535"/>
      <c r="U51" s="1535"/>
      <c r="V51" s="1535"/>
      <c r="W51" s="1535"/>
      <c r="X51" s="1535"/>
      <c r="Y51" s="1535"/>
      <c r="Z51" s="1535"/>
      <c r="AA51" s="1535"/>
      <c r="AB51" s="1535"/>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c r="BG51" s="1535"/>
      <c r="BH51" s="1535"/>
      <c r="BI51" s="1535"/>
      <c r="BJ51" s="1535"/>
      <c r="BK51" s="1535"/>
      <c r="BL51" s="1535"/>
      <c r="BM51" s="1535"/>
      <c r="BN51" s="1535"/>
      <c r="BO51" s="1535"/>
      <c r="BP51" s="1535"/>
      <c r="BQ51" s="1535"/>
      <c r="BR51" s="1535"/>
      <c r="BS51" s="1535"/>
      <c r="BT51" s="1535"/>
      <c r="BU51" s="1535"/>
      <c r="BV51" s="1535"/>
      <c r="BW51" s="1535"/>
      <c r="BX51" s="1535"/>
      <c r="BY51" s="1535"/>
      <c r="BZ51" s="1535"/>
      <c r="CA51" s="1535"/>
      <c r="CB51" s="1535"/>
      <c r="CC51" s="1535"/>
      <c r="CD51" s="1535"/>
      <c r="CE51" s="1535"/>
      <c r="CF51" s="1535"/>
      <c r="CG51" s="1535"/>
      <c r="CH51" s="1535"/>
      <c r="CI51" s="1535"/>
      <c r="CJ51" s="1535"/>
      <c r="CK51" s="1535"/>
      <c r="CL51" s="1535"/>
      <c r="CM51" s="1535"/>
      <c r="CN51" s="1535"/>
      <c r="CO51" s="1535"/>
      <c r="CP51" s="1535"/>
      <c r="CQ51" s="1535"/>
      <c r="CR51" s="1535"/>
      <c r="CS51" s="1535"/>
      <c r="CT51" s="1535"/>
      <c r="CU51" s="1535"/>
      <c r="CV51" s="1535"/>
    </row>
    <row r="52" spans="2:100" s="1135" customFormat="1" ht="28.5" customHeight="1">
      <c r="B52" s="1540"/>
      <c r="C52" s="1540"/>
      <c r="D52" s="1540"/>
      <c r="E52" s="1540"/>
      <c r="F52" s="1540"/>
      <c r="G52" s="1540"/>
      <c r="H52" s="1540"/>
      <c r="I52" s="1540"/>
      <c r="J52" s="1540"/>
      <c r="K52" s="1540"/>
      <c r="L52" s="1540"/>
      <c r="M52" s="1540"/>
      <c r="N52" s="1540"/>
      <c r="O52" s="1540"/>
      <c r="P52" s="1540"/>
      <c r="Q52" s="1540"/>
      <c r="R52" s="1540"/>
      <c r="S52" s="1540"/>
      <c r="T52" s="1540"/>
      <c r="U52" s="1540"/>
      <c r="V52" s="1540"/>
      <c r="W52" s="1540"/>
      <c r="X52" s="1540"/>
      <c r="Y52" s="1540"/>
      <c r="Z52" s="1540"/>
      <c r="AA52" s="1540"/>
      <c r="AB52" s="1540"/>
      <c r="AC52" s="1540"/>
      <c r="AD52" s="1540"/>
      <c r="AE52" s="1540"/>
      <c r="AF52" s="1540"/>
      <c r="AG52" s="1540"/>
      <c r="AH52" s="1540"/>
      <c r="AI52" s="1540"/>
      <c r="AJ52" s="1540"/>
      <c r="AK52" s="1540"/>
      <c r="AL52" s="1540"/>
      <c r="AM52" s="1540"/>
      <c r="AN52" s="1540"/>
      <c r="AO52" s="1540"/>
      <c r="AP52" s="1540"/>
      <c r="AQ52" s="1540"/>
      <c r="AR52" s="1540"/>
      <c r="AS52" s="1540"/>
      <c r="AT52" s="1540"/>
      <c r="AU52" s="1540"/>
      <c r="AV52" s="1540"/>
      <c r="AW52" s="1540"/>
      <c r="AX52" s="1540"/>
      <c r="AY52" s="1540"/>
      <c r="AZ52" s="1540"/>
      <c r="BA52" s="1540"/>
      <c r="BB52" s="1540"/>
      <c r="BC52" s="1540"/>
      <c r="BD52" s="1540"/>
      <c r="BE52" s="1540"/>
      <c r="BF52" s="1540"/>
      <c r="BG52" s="1540"/>
      <c r="BH52" s="1540"/>
      <c r="BI52" s="1540"/>
      <c r="BJ52" s="1540"/>
      <c r="BK52" s="1540"/>
      <c r="BL52" s="1540"/>
      <c r="BM52" s="1540"/>
      <c r="BN52" s="1540"/>
      <c r="BO52" s="1540"/>
      <c r="BP52" s="1540"/>
      <c r="BQ52" s="1540"/>
      <c r="BR52" s="1540"/>
      <c r="BS52" s="1540"/>
      <c r="BT52" s="1540"/>
      <c r="BU52" s="1540"/>
      <c r="BV52" s="1540"/>
      <c r="BW52" s="1540"/>
      <c r="BX52" s="1540"/>
      <c r="BY52" s="1540"/>
      <c r="BZ52" s="1540"/>
      <c r="CA52" s="1540"/>
      <c r="CB52" s="1540"/>
      <c r="CC52" s="1540"/>
      <c r="CD52" s="1540"/>
      <c r="CE52" s="1540"/>
      <c r="CF52" s="1540"/>
      <c r="CG52" s="1540"/>
      <c r="CH52" s="1540"/>
      <c r="CI52" s="1540"/>
      <c r="CJ52" s="1540"/>
      <c r="CK52" s="1540"/>
      <c r="CL52" s="1540"/>
      <c r="CM52" s="1540"/>
      <c r="CN52" s="1540"/>
      <c r="CO52" s="1540"/>
      <c r="CP52" s="1540"/>
      <c r="CQ52" s="1540"/>
      <c r="CR52" s="1540"/>
      <c r="CS52" s="1540"/>
      <c r="CT52" s="1540"/>
      <c r="CU52" s="1540"/>
      <c r="CV52" s="1540"/>
    </row>
    <row r="53" spans="2:100" s="1135" customFormat="1" ht="26.25" customHeight="1">
      <c r="B53" s="1544"/>
      <c r="C53" s="1544"/>
      <c r="D53" s="1544"/>
      <c r="E53" s="1544"/>
      <c r="F53" s="1544"/>
      <c r="G53" s="1544"/>
      <c r="H53" s="1544"/>
      <c r="I53" s="1544"/>
      <c r="J53" s="1544"/>
      <c r="K53" s="1544"/>
      <c r="L53" s="1544"/>
      <c r="M53" s="1544"/>
      <c r="N53" s="1544"/>
      <c r="O53" s="1544"/>
      <c r="P53" s="1544"/>
      <c r="Q53" s="1544"/>
      <c r="R53" s="1544"/>
      <c r="S53" s="1544"/>
      <c r="T53" s="1544"/>
      <c r="U53" s="1544"/>
      <c r="V53" s="1544"/>
      <c r="W53" s="1544"/>
      <c r="X53" s="1544"/>
      <c r="Y53" s="1544"/>
      <c r="Z53" s="1544"/>
      <c r="AA53" s="1544"/>
      <c r="AB53" s="1544"/>
      <c r="AC53" s="1544"/>
      <c r="AD53" s="1544"/>
      <c r="AE53" s="1544"/>
      <c r="AF53" s="1544"/>
      <c r="AG53" s="1544"/>
      <c r="AH53" s="1544"/>
      <c r="AI53" s="1544"/>
      <c r="AJ53" s="1544"/>
      <c r="AK53" s="1544"/>
      <c r="AL53" s="1544"/>
      <c r="AM53" s="1544"/>
      <c r="AN53" s="1544"/>
      <c r="AO53" s="1544"/>
      <c r="AP53" s="1544"/>
      <c r="AQ53" s="1544"/>
      <c r="AR53" s="1544"/>
      <c r="AS53" s="1544"/>
      <c r="AT53" s="1544"/>
      <c r="AU53" s="1544"/>
      <c r="AV53" s="1544"/>
      <c r="AW53" s="1544"/>
      <c r="AX53" s="1544"/>
      <c r="AY53" s="1544"/>
      <c r="AZ53" s="1544"/>
      <c r="BA53" s="1544"/>
      <c r="BB53" s="1544"/>
      <c r="BC53" s="1544"/>
      <c r="BD53" s="1544"/>
      <c r="BE53" s="1544"/>
      <c r="BF53" s="1544"/>
      <c r="BG53" s="1544"/>
      <c r="BH53" s="1544"/>
      <c r="BI53" s="1544"/>
      <c r="BJ53" s="1544"/>
      <c r="BK53" s="1544"/>
      <c r="BL53" s="1544"/>
      <c r="BM53" s="1544"/>
      <c r="BN53" s="1544"/>
      <c r="BO53" s="1544"/>
      <c r="BP53" s="1544"/>
      <c r="BQ53" s="1544"/>
      <c r="BR53" s="1544"/>
      <c r="BS53" s="1544"/>
      <c r="BT53" s="1544"/>
      <c r="BU53" s="1544"/>
      <c r="BV53" s="1544"/>
      <c r="BW53" s="1544"/>
      <c r="BX53" s="1544"/>
      <c r="BY53" s="1544"/>
      <c r="BZ53" s="1544"/>
      <c r="CA53" s="1544"/>
      <c r="CB53" s="1544"/>
      <c r="CC53" s="1544"/>
      <c r="CD53" s="1544"/>
      <c r="CE53" s="1544"/>
      <c r="CF53" s="1544"/>
      <c r="CG53" s="1544"/>
      <c r="CH53" s="1544"/>
      <c r="CI53" s="1544"/>
      <c r="CJ53" s="1544"/>
      <c r="CK53" s="1544"/>
      <c r="CL53" s="1544"/>
      <c r="CM53" s="1544"/>
      <c r="CN53" s="1544"/>
      <c r="CO53" s="1544"/>
      <c r="CP53" s="1544"/>
      <c r="CQ53" s="1544"/>
      <c r="CR53" s="1544"/>
      <c r="CS53" s="1544"/>
      <c r="CT53" s="1544"/>
      <c r="CU53" s="1544"/>
      <c r="CV53" s="1544"/>
    </row>
    <row r="54" spans="2:100" s="1135" customFormat="1" ht="38.25" customHeight="1">
      <c r="B54" s="1540"/>
      <c r="C54" s="1540"/>
      <c r="D54" s="1540"/>
      <c r="E54" s="1540"/>
      <c r="F54" s="1540"/>
      <c r="G54" s="1540"/>
      <c r="H54" s="1540"/>
      <c r="I54" s="1540"/>
      <c r="J54" s="1540"/>
      <c r="K54" s="1540"/>
      <c r="L54" s="1540"/>
      <c r="M54" s="1540"/>
      <c r="N54" s="1540"/>
      <c r="O54" s="1540"/>
      <c r="P54" s="1540"/>
      <c r="Q54" s="1540"/>
      <c r="R54" s="1540"/>
      <c r="S54" s="1540"/>
      <c r="T54" s="1540"/>
      <c r="U54" s="1540"/>
      <c r="V54" s="1540"/>
      <c r="W54" s="1540"/>
      <c r="X54" s="1540"/>
      <c r="Y54" s="1540"/>
      <c r="Z54" s="1540"/>
      <c r="AA54" s="1540"/>
      <c r="AB54" s="1540"/>
      <c r="AC54" s="1540"/>
      <c r="AD54" s="1540"/>
      <c r="AE54" s="1540"/>
      <c r="AF54" s="1540"/>
      <c r="AG54" s="1540"/>
      <c r="AH54" s="1540"/>
      <c r="AI54" s="1540"/>
      <c r="AJ54" s="1540"/>
      <c r="AK54" s="1540"/>
      <c r="AL54" s="1540"/>
      <c r="AM54" s="1540"/>
      <c r="AN54" s="1540"/>
      <c r="AO54" s="1540"/>
      <c r="AP54" s="1540"/>
      <c r="AQ54" s="1540"/>
      <c r="AR54" s="1540"/>
      <c r="AS54" s="1540"/>
      <c r="AT54" s="1540"/>
      <c r="AU54" s="1540"/>
      <c r="AV54" s="1540"/>
      <c r="AW54" s="1540"/>
      <c r="AX54" s="1540"/>
      <c r="AY54" s="1540"/>
      <c r="AZ54" s="1540"/>
      <c r="BA54" s="1540"/>
      <c r="BB54" s="1540"/>
      <c r="BC54" s="1540"/>
      <c r="BD54" s="1540"/>
      <c r="BE54" s="1540"/>
      <c r="BF54" s="1540"/>
      <c r="BG54" s="1540"/>
      <c r="BH54" s="1540"/>
      <c r="BI54" s="1540"/>
      <c r="BJ54" s="1540"/>
      <c r="BK54" s="1540"/>
      <c r="BL54" s="1540"/>
      <c r="BM54" s="1540"/>
      <c r="BN54" s="1540"/>
      <c r="BO54" s="1540"/>
      <c r="BP54" s="1540"/>
      <c r="BQ54" s="1540"/>
      <c r="BR54" s="1540"/>
      <c r="BS54" s="1540"/>
      <c r="BT54" s="1540"/>
      <c r="BU54" s="1540"/>
      <c r="BV54" s="1540"/>
      <c r="BW54" s="1540"/>
      <c r="BX54" s="1540"/>
      <c r="BY54" s="1540"/>
      <c r="BZ54" s="1540"/>
      <c r="CA54" s="1540"/>
      <c r="CB54" s="1540"/>
      <c r="CC54" s="1540"/>
      <c r="CD54" s="1540"/>
      <c r="CE54" s="1540"/>
      <c r="CF54" s="1540"/>
      <c r="CG54" s="1540"/>
      <c r="CH54" s="1540"/>
      <c r="CI54" s="1540"/>
      <c r="CJ54" s="1540"/>
      <c r="CK54" s="1540"/>
      <c r="CL54" s="1540"/>
      <c r="CM54" s="1540"/>
      <c r="CN54" s="1540"/>
      <c r="CO54" s="1540"/>
      <c r="CP54" s="1540"/>
      <c r="CQ54" s="1540"/>
      <c r="CR54" s="1540"/>
      <c r="CS54" s="1540"/>
      <c r="CT54" s="1540"/>
      <c r="CU54" s="1540"/>
      <c r="CV54" s="1540"/>
    </row>
  </sheetData>
  <sheetProtection password="FBCA" sheet="1" objects="1" scenarios="1"/>
  <mergeCells count="69">
    <mergeCell ref="BB47:BL47"/>
    <mergeCell ref="BO47:BX47"/>
    <mergeCell ref="BB43:BL43"/>
    <mergeCell ref="BO43:BY43"/>
    <mergeCell ref="BB44:BL44"/>
    <mergeCell ref="BO44:BY44"/>
    <mergeCell ref="BB46:BL46"/>
    <mergeCell ref="BO46:BY46"/>
    <mergeCell ref="BB45:BL45"/>
    <mergeCell ref="BO45:BY45"/>
    <mergeCell ref="BB41:BL41"/>
    <mergeCell ref="BO41:BY41"/>
    <mergeCell ref="Y31:AZ31"/>
    <mergeCell ref="W42:AY42"/>
    <mergeCell ref="BB42:BL42"/>
    <mergeCell ref="BO42:BY42"/>
    <mergeCell ref="BO32:BZ32"/>
    <mergeCell ref="BB33:BL33"/>
    <mergeCell ref="BO33:BY33"/>
    <mergeCell ref="AE41:AY41"/>
    <mergeCell ref="BB36:BN36"/>
    <mergeCell ref="BO34:BY34"/>
    <mergeCell ref="BO35:BY35"/>
    <mergeCell ref="AE43:AY43"/>
    <mergeCell ref="AE44:AY44"/>
    <mergeCell ref="AE46:AY46"/>
    <mergeCell ref="AF30:AZ30"/>
    <mergeCell ref="B20:C20"/>
    <mergeCell ref="D20:CV20"/>
    <mergeCell ref="B38:CV38"/>
    <mergeCell ref="B39:CV39"/>
    <mergeCell ref="BO36:CA36"/>
    <mergeCell ref="AF35:AZ35"/>
    <mergeCell ref="AF34:AZ34"/>
    <mergeCell ref="AF32:AZ32"/>
    <mergeCell ref="BB31:BL31"/>
    <mergeCell ref="BB30:BL30"/>
    <mergeCell ref="BB34:BL34"/>
    <mergeCell ref="BB35:BL35"/>
    <mergeCell ref="B1:CV1"/>
    <mergeCell ref="BU4:CP4"/>
    <mergeCell ref="E4:Z4"/>
    <mergeCell ref="B12:C12"/>
    <mergeCell ref="D12:CV12"/>
    <mergeCell ref="B6:CV6"/>
    <mergeCell ref="B8:C8"/>
    <mergeCell ref="D8:CV8"/>
    <mergeCell ref="B10:C10"/>
    <mergeCell ref="D10:CV10"/>
    <mergeCell ref="AN4:BH4"/>
    <mergeCell ref="B54:CV54"/>
    <mergeCell ref="B51:CV51"/>
    <mergeCell ref="B53:CV53"/>
    <mergeCell ref="B49:CV49"/>
    <mergeCell ref="B52:CV52"/>
    <mergeCell ref="BO30:BY30"/>
    <mergeCell ref="BO31:BY31"/>
    <mergeCell ref="D22:CV22"/>
    <mergeCell ref="B14:C14"/>
    <mergeCell ref="D14:CV14"/>
    <mergeCell ref="B16:C16"/>
    <mergeCell ref="D16:CV16"/>
    <mergeCell ref="B18:C18"/>
    <mergeCell ref="D18:CV18"/>
    <mergeCell ref="B23:CV23"/>
    <mergeCell ref="B28:CV28"/>
    <mergeCell ref="B27:CV27"/>
    <mergeCell ref="B25:CV25"/>
    <mergeCell ref="B22:C22"/>
  </mergeCells>
  <pageMargins left="0.7" right="0.7" top="0.75" bottom="0.75" header="0.3" footer="0.3"/>
  <pageSetup paperSize="9" orientation="portrait" horizontalDpi="300" verticalDpi="300" r:id="rId1"/>
  <ignoredErrors>
    <ignoredError sqref="BO45"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4" id="{79FBBAB7-A8B3-47A1-A505-5CA8626E3A17}">
            <xm:f>'Age Pension Calculator'!V19="Single"</xm:f>
            <x14:dxf>
              <font>
                <color theme="0"/>
              </font>
              <fill>
                <patternFill>
                  <bgColor theme="0"/>
                </patternFill>
              </fill>
              <border>
                <left/>
                <right/>
                <top/>
                <bottom/>
              </border>
            </x14:dxf>
          </x14:cfRule>
          <xm:sqref>BO41:BY41</xm:sqref>
        </x14:conditionalFormatting>
        <x14:conditionalFormatting xmlns:xm="http://schemas.microsoft.com/office/excel/2006/main">
          <x14:cfRule type="expression" priority="3" id="{CF3BA91A-8A52-40B4-810E-755AA3377DAD}">
            <xm:f>AND('Admin Settings'!$N$38=0,'Admin Settings'!$N$39=0)</xm:f>
            <x14:dxf>
              <font>
                <color theme="0"/>
              </font>
            </x14:dxf>
          </x14:cfRule>
          <xm:sqref>B22:C22</xm:sqref>
        </x14:conditionalFormatting>
        <x14:conditionalFormatting xmlns:xm="http://schemas.microsoft.com/office/excel/2006/main">
          <x14:cfRule type="expression" priority="1" id="{C80F48D2-EC33-499C-A176-A2E794D504E8}">
            <xm:f>'Admin Settings'!$M$40=0</xm:f>
            <x14:dxf>
              <font>
                <color theme="0"/>
              </font>
            </x14:dxf>
          </x14:cfRule>
          <xm:sqref>W41:BY47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6"/>
    <pageSetUpPr fitToPage="1"/>
  </sheetPr>
  <dimension ref="A1:JE512"/>
  <sheetViews>
    <sheetView topLeftCell="FS1" zoomScale="85" zoomScaleNormal="85" workbookViewId="0">
      <selection activeCell="I21" sqref="I21"/>
    </sheetView>
    <sheetView workbookViewId="1"/>
  </sheetViews>
  <sheetFormatPr defaultColWidth="8.875" defaultRowHeight="15.75"/>
  <cols>
    <col min="1" max="1" width="31.625" style="86" customWidth="1"/>
    <col min="2" max="2" width="20.25" style="86" customWidth="1"/>
    <col min="3" max="3" width="19.625" style="86" customWidth="1"/>
    <col min="4" max="4" width="13.125" style="86" customWidth="1"/>
    <col min="5" max="5" width="18" style="86" customWidth="1"/>
    <col min="6" max="7" width="10" style="29" customWidth="1"/>
    <col min="8" max="8" width="12" style="139" customWidth="1"/>
    <col min="9" max="10" width="12" style="138" customWidth="1"/>
    <col min="11" max="11" width="10" style="86" customWidth="1"/>
    <col min="12" max="14" width="12.875" style="86" customWidth="1"/>
    <col min="15" max="15" width="11.625" style="86" customWidth="1"/>
    <col min="16" max="17" width="15.75" style="86" customWidth="1"/>
    <col min="18" max="18" width="18.625" style="86" customWidth="1"/>
    <col min="19" max="19" width="16.875" style="63" customWidth="1"/>
    <col min="20" max="20" width="12.5" style="86" customWidth="1"/>
    <col min="21" max="21" width="12.125" style="86" customWidth="1"/>
    <col min="22" max="27" width="14.875" style="86" customWidth="1"/>
    <col min="28" max="28" width="18.125" style="86" customWidth="1"/>
    <col min="29" max="30" width="16.625" style="86" customWidth="1"/>
    <col min="31" max="31" width="15.625" style="86" customWidth="1"/>
    <col min="32" max="32" width="19.5" style="86" customWidth="1"/>
    <col min="33" max="33" width="15.75" style="86" customWidth="1"/>
    <col min="34" max="34" width="13.875" style="86" bestFit="1" customWidth="1"/>
    <col min="35" max="41" width="13.875" style="86" customWidth="1"/>
    <col min="42" max="42" width="13.875" style="86" bestFit="1" customWidth="1"/>
    <col min="43" max="43" width="13.875" style="86" customWidth="1"/>
    <col min="44" max="44" width="13.875" style="86" bestFit="1" customWidth="1"/>
    <col min="45" max="45" width="14" style="86" customWidth="1"/>
    <col min="46" max="46" width="17.125" style="145" bestFit="1" customWidth="1"/>
    <col min="47" max="47" width="17.125" style="145" customWidth="1"/>
    <col min="48" max="48" width="14.625" style="86" customWidth="1"/>
    <col min="49" max="49" width="14.875" style="45" bestFit="1" customWidth="1"/>
    <col min="50" max="50" width="14.875" style="45" customWidth="1"/>
    <col min="51" max="51" width="18.75" style="45" bestFit="1" customWidth="1"/>
    <col min="52" max="52" width="18.375" style="162" customWidth="1"/>
    <col min="53" max="53" width="13.625" style="162" customWidth="1"/>
    <col min="54" max="54" width="11.875" style="162" customWidth="1"/>
    <col min="55" max="55" width="18.25" style="162" customWidth="1"/>
    <col min="56" max="57" width="21.875" style="162" customWidth="1"/>
    <col min="58" max="58" width="19" style="162" customWidth="1"/>
    <col min="59" max="59" width="15.25" style="45" customWidth="1"/>
    <col min="60" max="60" width="21.25" style="246" bestFit="1" customWidth="1"/>
    <col min="61" max="61" width="21.25" style="246" customWidth="1"/>
    <col min="62" max="62" width="14.375" style="138" bestFit="1" customWidth="1"/>
    <col min="63" max="63" width="17.625" style="54" bestFit="1" customWidth="1"/>
    <col min="64" max="64" width="13.625" style="74" bestFit="1" customWidth="1"/>
    <col min="65" max="65" width="14.625" style="86" bestFit="1" customWidth="1"/>
    <col min="66" max="66" width="14.625" style="86" customWidth="1"/>
    <col min="67" max="67" width="17.875" style="86" bestFit="1" customWidth="1"/>
    <col min="68" max="69" width="13.75" style="86" customWidth="1"/>
    <col min="70" max="71" width="16.75" style="86" customWidth="1"/>
    <col min="72" max="72" width="19.25" style="86" customWidth="1"/>
    <col min="73" max="77" width="16.75" style="86" customWidth="1"/>
    <col min="78" max="78" width="15.875" style="86" customWidth="1"/>
    <col min="79" max="79" width="10.875" style="86" bestFit="1" customWidth="1"/>
    <col min="80" max="80" width="10.875" style="102" bestFit="1" customWidth="1"/>
    <col min="81" max="81" width="11.75" style="102" customWidth="1"/>
    <col min="82" max="82" width="12.25" style="86" customWidth="1"/>
    <col min="83" max="83" width="12.5" style="86" customWidth="1"/>
    <col min="84" max="84" width="14.25" style="102" bestFit="1" customWidth="1"/>
    <col min="85" max="85" width="12.25" style="102" customWidth="1"/>
    <col min="86" max="86" width="13.125" style="102" customWidth="1"/>
    <col min="87" max="87" width="11.375" style="102" customWidth="1"/>
    <col min="88" max="88" width="32.5" style="102" bestFit="1" customWidth="1"/>
    <col min="89" max="89" width="12.375" style="86" bestFit="1" customWidth="1"/>
    <col min="90" max="90" width="12.875" style="86" customWidth="1"/>
    <col min="91" max="91" width="14.375" style="86" bestFit="1" customWidth="1"/>
    <col min="92" max="92" width="11.375" style="86" customWidth="1"/>
    <col min="93" max="93" width="12.5" style="86" customWidth="1"/>
    <col min="94" max="94" width="20.625" style="86" customWidth="1"/>
    <col min="95" max="95" width="19.125" style="63" customWidth="1"/>
    <col min="96" max="99" width="19.375" style="86" customWidth="1"/>
    <col min="100" max="100" width="20.375" style="54" customWidth="1"/>
    <col min="101" max="102" width="16.375" style="54" customWidth="1"/>
    <col min="103" max="103" width="20.5" style="86" customWidth="1"/>
    <col min="104" max="104" width="20.625" style="86" customWidth="1"/>
    <col min="105" max="109" width="13.125" style="86" customWidth="1"/>
    <col min="110" max="110" width="15.5" style="86" customWidth="1"/>
    <col min="111" max="111" width="22.5" style="86" customWidth="1"/>
    <col min="112" max="112" width="16.125" style="86" customWidth="1"/>
    <col min="113" max="116" width="19.375" style="86" customWidth="1"/>
    <col min="117" max="117" width="13" style="340" customWidth="1"/>
    <col min="118" max="119" width="16.375" style="54" customWidth="1"/>
    <col min="120" max="120" width="24.375" style="63" customWidth="1"/>
    <col min="121" max="121" width="21" style="86" customWidth="1"/>
    <col min="122" max="122" width="9.875" style="86" customWidth="1"/>
    <col min="123" max="126" width="13.125" style="86" customWidth="1"/>
    <col min="127" max="127" width="15.5" style="86" customWidth="1"/>
    <col min="128" max="128" width="20.625" style="86" customWidth="1"/>
    <col min="129" max="133" width="19.375" style="86" customWidth="1"/>
    <col min="134" max="134" width="13" style="86" customWidth="1"/>
    <col min="135" max="136" width="16.375" style="54" customWidth="1"/>
    <col min="137" max="137" width="24.375" style="63" customWidth="1"/>
    <col min="138" max="138" width="21" style="86" customWidth="1"/>
    <col min="139" max="139" width="9.875" style="86" customWidth="1"/>
    <col min="140" max="143" width="13.125" style="86" customWidth="1"/>
    <col min="144" max="144" width="15.5" style="86" customWidth="1"/>
    <col min="145" max="145" width="33.125" style="86" customWidth="1"/>
    <col min="146" max="146" width="26.125" style="86" customWidth="1"/>
    <col min="147" max="147" width="20.375" style="63" customWidth="1"/>
    <col min="148" max="148" width="16.375" style="54" customWidth="1"/>
    <col min="149" max="149" width="24.125" style="86" customWidth="1"/>
    <col min="150" max="150" width="25.75" style="86" customWidth="1"/>
    <col min="151" max="151" width="18.125" style="86" customWidth="1"/>
    <col min="152" max="152" width="13.75" style="86" customWidth="1"/>
    <col min="153" max="153" width="12.25" style="86" customWidth="1"/>
    <col min="154" max="154" width="9.75" style="86" customWidth="1"/>
    <col min="155" max="155" width="26" style="86" customWidth="1"/>
    <col min="156" max="159" width="13.125" style="86" customWidth="1"/>
    <col min="160" max="160" width="20.375" style="86" customWidth="1"/>
    <col min="161" max="161" width="23.75" style="86" customWidth="1"/>
    <col min="162" max="162" width="26.125" style="86" customWidth="1"/>
    <col min="163" max="163" width="20.375" style="54" customWidth="1"/>
    <col min="164" max="164" width="14.625" style="86" customWidth="1"/>
    <col min="165" max="165" width="16" style="86" customWidth="1"/>
    <col min="166" max="166" width="16.25" style="86" customWidth="1"/>
    <col min="167" max="167" width="16.375" style="86" customWidth="1"/>
    <col min="168" max="168" width="12.75" style="86" customWidth="1"/>
    <col min="169" max="169" width="14.625" style="86" customWidth="1"/>
    <col min="170" max="170" width="30.5" style="86" customWidth="1"/>
    <col min="171" max="171" width="12.625" style="86" customWidth="1"/>
    <col min="172" max="175" width="13.125" style="86" customWidth="1"/>
    <col min="176" max="176" width="13.875" style="45" bestFit="1" customWidth="1"/>
    <col min="177" max="177" width="14.375" style="86" bestFit="1" customWidth="1"/>
    <col min="178" max="178" width="32.625" style="86" bestFit="1" customWidth="1"/>
    <col min="179" max="179" width="12.5" style="86" bestFit="1" customWidth="1"/>
    <col min="180" max="180" width="21" style="63" customWidth="1"/>
    <col min="181" max="181" width="14.375" style="54" bestFit="1" customWidth="1"/>
    <col min="182" max="182" width="16.625" style="54" customWidth="1"/>
    <col min="183" max="183" width="17.625" style="54" customWidth="1"/>
    <col min="184" max="184" width="20.5" style="54" customWidth="1"/>
    <col min="185" max="185" width="19" style="86" customWidth="1"/>
    <col min="186" max="189" width="19.375" style="86" customWidth="1"/>
    <col min="190" max="190" width="20.625" style="86" bestFit="1" customWidth="1"/>
    <col min="191" max="191" width="13.375" style="86" customWidth="1"/>
    <col min="192" max="192" width="16.875" style="86" customWidth="1"/>
    <col min="193" max="193" width="33" style="86" bestFit="1" customWidth="1"/>
    <col min="194" max="194" width="16.5" style="45" customWidth="1"/>
    <col min="195" max="195" width="16.625" style="54" customWidth="1"/>
    <col min="196" max="199" width="13.125" style="86" customWidth="1"/>
    <col min="200" max="200" width="18.375" style="54" customWidth="1"/>
    <col min="201" max="201" width="20.75" style="54" customWidth="1"/>
    <col min="202" max="202" width="17.75" style="86" customWidth="1"/>
    <col min="203" max="206" width="19.375" style="86" customWidth="1"/>
    <col min="207" max="207" width="20.625" style="86" customWidth="1"/>
    <col min="208" max="209" width="16.375" style="86" customWidth="1"/>
    <col min="210" max="210" width="33" style="86" customWidth="1"/>
    <col min="211" max="211" width="16.5" style="86" customWidth="1"/>
    <col min="212" max="212" width="16.375" style="63" customWidth="1"/>
    <col min="213" max="216" width="13.125" style="86" customWidth="1"/>
    <col min="217" max="217" width="18.375" style="54" customWidth="1"/>
    <col min="218" max="218" width="20.625" style="54" customWidth="1"/>
    <col min="219" max="223" width="18.75" style="86" customWidth="1"/>
    <col min="224" max="224" width="20.625" style="86" bestFit="1" customWidth="1"/>
    <col min="225" max="226" width="16.375" style="86" bestFit="1" customWidth="1"/>
    <col min="227" max="227" width="33" style="86" bestFit="1" customWidth="1"/>
    <col min="228" max="228" width="16.5" style="86" bestFit="1" customWidth="1"/>
    <col min="229" max="229" width="16.375" style="63" bestFit="1" customWidth="1"/>
    <col min="230" max="233" width="13.125" style="86" customWidth="1"/>
    <col min="234" max="234" width="20.375" style="63" bestFit="1" customWidth="1"/>
    <col min="235" max="235" width="16.375" style="54" bestFit="1" customWidth="1"/>
    <col min="236" max="236" width="26.125" style="86" bestFit="1" customWidth="1"/>
    <col min="237" max="237" width="20.375" style="86" bestFit="1" customWidth="1"/>
    <col min="238" max="238" width="16.375" style="86" customWidth="1"/>
    <col min="239" max="239" width="26.125" style="86" bestFit="1" customWidth="1"/>
    <col min="240" max="240" width="20.375" style="86" bestFit="1" customWidth="1"/>
    <col min="241" max="241" width="27.5" style="86" customWidth="1"/>
    <col min="242" max="242" width="23.5" style="86" customWidth="1"/>
    <col min="243" max="243" width="26.5" style="86" customWidth="1"/>
    <col min="244" max="244" width="20.375" style="86" bestFit="1" customWidth="1"/>
    <col min="245" max="245" width="16.375" style="54" bestFit="1" customWidth="1"/>
    <col min="246" max="249" width="13.125" style="86" customWidth="1"/>
    <col min="250" max="250" width="20.625" style="63" bestFit="1" customWidth="1"/>
    <col min="251" max="251" width="23.75" style="86" bestFit="1" customWidth="1"/>
    <col min="252" max="252" width="26.125" style="86" bestFit="1" customWidth="1"/>
    <col min="253" max="253" width="20.375" style="86" bestFit="1" customWidth="1"/>
    <col min="254" max="254" width="16.375" style="86" bestFit="1" customWidth="1"/>
    <col min="255" max="255" width="26.125" style="86" bestFit="1" customWidth="1"/>
    <col min="256" max="256" width="20.375" style="86" bestFit="1" customWidth="1"/>
    <col min="257" max="257" width="16.375" style="86" bestFit="1" customWidth="1"/>
    <col min="258" max="258" width="13.375" style="86" bestFit="1" customWidth="1"/>
    <col min="259" max="259" width="8.875" style="86"/>
    <col min="260" max="260" width="13" style="86" bestFit="1" customWidth="1"/>
    <col min="261" max="261" width="12.375" style="86" customWidth="1"/>
    <col min="262" max="265" width="13.125" style="86" customWidth="1"/>
    <col min="266" max="266" width="10.375" style="86" bestFit="1" customWidth="1"/>
    <col min="267" max="16384" width="8.875" style="86"/>
  </cols>
  <sheetData>
    <row r="1" spans="1:265" s="34" customFormat="1">
      <c r="A1" s="137"/>
      <c r="B1" s="137"/>
      <c r="C1" s="137"/>
      <c r="D1" s="137"/>
      <c r="E1" s="137"/>
      <c r="F1" s="137"/>
      <c r="G1" s="137"/>
      <c r="H1" s="137"/>
      <c r="I1" s="137"/>
      <c r="J1" s="137"/>
      <c r="K1" s="137"/>
      <c r="L1" s="137"/>
      <c r="M1" s="137"/>
      <c r="N1" s="137"/>
      <c r="O1" s="137"/>
      <c r="P1" s="137"/>
      <c r="Q1" s="137"/>
      <c r="R1" s="137"/>
      <c r="S1" s="64"/>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297"/>
      <c r="AU1" s="297"/>
      <c r="AV1" s="137"/>
      <c r="AW1" s="86"/>
      <c r="AX1" s="86"/>
      <c r="AY1" s="124"/>
      <c r="AZ1" s="124"/>
      <c r="BA1" s="124"/>
      <c r="BB1" s="124"/>
      <c r="BC1" s="124"/>
      <c r="BD1" s="124"/>
      <c r="BE1" s="124"/>
      <c r="BF1" s="124"/>
      <c r="BG1" s="124"/>
      <c r="BH1" s="124"/>
      <c r="BI1" s="244"/>
      <c r="BJ1" s="244"/>
      <c r="BK1" s="137"/>
      <c r="BL1" s="157"/>
      <c r="BM1" s="137"/>
      <c r="BN1" s="137"/>
      <c r="BO1" s="137"/>
      <c r="BP1" s="137"/>
      <c r="BQ1" s="137"/>
      <c r="BR1" s="137"/>
      <c r="BS1" s="137"/>
      <c r="BT1" s="137"/>
      <c r="BU1" s="137"/>
      <c r="BV1" s="137"/>
      <c r="BW1" s="137"/>
      <c r="BX1" s="137"/>
      <c r="BY1" s="137"/>
      <c r="BZ1" s="137"/>
      <c r="CA1" s="137"/>
      <c r="CB1" s="137"/>
      <c r="CC1" s="37"/>
      <c r="CD1" s="37"/>
      <c r="CG1" s="37"/>
      <c r="CH1" s="37"/>
      <c r="CI1" s="37"/>
      <c r="CJ1" s="37"/>
      <c r="CK1" s="37"/>
      <c r="CV1" s="64"/>
      <c r="CW1" s="157"/>
      <c r="CX1" s="157"/>
      <c r="CY1" s="157"/>
      <c r="DO1" s="157"/>
      <c r="DP1" s="157"/>
      <c r="DQ1" s="64"/>
      <c r="EF1" s="157"/>
      <c r="EG1" s="157"/>
      <c r="EH1" s="64"/>
      <c r="ER1" s="64"/>
      <c r="ES1" s="157"/>
      <c r="FH1" s="157"/>
      <c r="FU1" s="124"/>
      <c r="FY1" s="64"/>
      <c r="FZ1" s="157"/>
      <c r="GA1" s="157"/>
      <c r="GB1" s="157"/>
      <c r="GC1" s="157"/>
      <c r="GM1" s="124"/>
      <c r="GR1" s="157"/>
      <c r="GS1" s="157"/>
      <c r="GT1" s="157"/>
      <c r="HI1" s="157"/>
      <c r="HJ1" s="157"/>
      <c r="HK1" s="157"/>
      <c r="HL1" s="157"/>
      <c r="HM1" s="157"/>
      <c r="HN1" s="157"/>
      <c r="HO1" s="157"/>
      <c r="HZ1" s="64"/>
      <c r="IA1" s="64"/>
      <c r="IB1" s="157"/>
      <c r="IP1" s="64"/>
    </row>
    <row r="2" spans="1:265" s="136" customFormat="1" ht="29.25" customHeight="1">
      <c r="A2" s="148" t="s">
        <v>358</v>
      </c>
      <c r="D2" s="290" t="s">
        <v>357</v>
      </c>
      <c r="E2" s="291">
        <v>-1</v>
      </c>
      <c r="G2" s="290" t="s">
        <v>397</v>
      </c>
      <c r="H2" s="136">
        <v>2</v>
      </c>
      <c r="S2" s="65"/>
      <c r="AT2" s="298"/>
      <c r="AU2" s="298"/>
      <c r="AY2" s="110"/>
      <c r="AZ2" s="110"/>
      <c r="BA2" s="161"/>
      <c r="BB2" s="161"/>
      <c r="BC2" s="161"/>
      <c r="BD2" s="161"/>
      <c r="BE2" s="161"/>
      <c r="BF2" s="161"/>
      <c r="BG2" s="161"/>
      <c r="BH2" s="110"/>
      <c r="BI2" s="245"/>
      <c r="BJ2" s="245"/>
      <c r="BL2" s="158"/>
      <c r="CV2" s="65"/>
      <c r="CW2" s="158"/>
      <c r="CX2" s="158"/>
      <c r="CY2" s="158"/>
      <c r="DO2" s="158"/>
      <c r="DP2" s="158"/>
      <c r="DQ2" s="65"/>
      <c r="EF2" s="158"/>
      <c r="EG2" s="158"/>
      <c r="EH2" s="65"/>
      <c r="ER2" s="65"/>
      <c r="ES2" s="158"/>
      <c r="FH2" s="158"/>
      <c r="FU2" s="110"/>
      <c r="FY2" s="65"/>
      <c r="FZ2" s="158"/>
      <c r="GA2" s="158"/>
      <c r="GB2" s="158"/>
      <c r="GC2" s="158"/>
      <c r="GM2" s="110"/>
      <c r="GR2" s="158"/>
      <c r="GS2" s="158"/>
      <c r="GT2" s="158"/>
      <c r="HI2" s="158"/>
      <c r="HJ2" s="158"/>
      <c r="HK2" s="158"/>
      <c r="HL2" s="158"/>
      <c r="HM2" s="158"/>
      <c r="HN2" s="158"/>
      <c r="HO2" s="158"/>
      <c r="HZ2" s="65"/>
      <c r="IA2" s="65"/>
      <c r="IB2" s="158"/>
      <c r="IP2" s="65"/>
    </row>
    <row r="3" spans="1:265">
      <c r="G3" s="86"/>
      <c r="H3" s="86"/>
      <c r="I3" s="86"/>
      <c r="J3" s="86"/>
      <c r="AS3" s="118"/>
      <c r="AT3" s="299"/>
      <c r="AU3" s="299"/>
      <c r="AY3" s="162"/>
      <c r="BA3" s="45"/>
      <c r="BB3" s="45"/>
      <c r="BC3" s="45"/>
      <c r="BD3" s="45"/>
      <c r="BE3" s="45"/>
      <c r="BF3" s="45"/>
      <c r="BH3" s="45"/>
      <c r="BJ3" s="246"/>
      <c r="BL3" s="54"/>
      <c r="CB3" s="86"/>
      <c r="CD3" s="102"/>
      <c r="CF3" s="86"/>
      <c r="CK3" s="142"/>
      <c r="CL3" s="63"/>
      <c r="CQ3" s="86"/>
      <c r="CV3" s="86"/>
      <c r="CY3" s="54"/>
      <c r="CZ3" s="63"/>
      <c r="DM3" s="86"/>
      <c r="DN3" s="86"/>
      <c r="DP3" s="54"/>
      <c r="EE3" s="86"/>
      <c r="EG3" s="54"/>
      <c r="EQ3" s="86"/>
      <c r="ER3" s="86"/>
      <c r="ES3" s="54"/>
      <c r="FG3" s="86"/>
      <c r="FH3" s="54"/>
      <c r="FJ3" s="45"/>
      <c r="FK3" s="45"/>
      <c r="FO3" s="63"/>
      <c r="FT3" s="86"/>
      <c r="FX3" s="86"/>
      <c r="FY3" s="45"/>
      <c r="GC3" s="54"/>
      <c r="GL3" s="86"/>
      <c r="GM3" s="86"/>
      <c r="GT3" s="54"/>
      <c r="HD3" s="86"/>
      <c r="HK3" s="54"/>
      <c r="HL3" s="54"/>
      <c r="HM3" s="54"/>
      <c r="HN3" s="54"/>
      <c r="HO3" s="54"/>
      <c r="HU3" s="86"/>
      <c r="HZ3" s="86"/>
      <c r="IA3" s="86"/>
      <c r="IB3" s="54"/>
      <c r="IK3" s="86"/>
    </row>
    <row r="4" spans="1:265" ht="30.75" customHeight="1">
      <c r="B4" s="8" t="s">
        <v>22</v>
      </c>
      <c r="C4" s="8" t="s">
        <v>23</v>
      </c>
      <c r="E4" s="102"/>
      <c r="F4" s="102"/>
      <c r="G4" s="150" t="s">
        <v>238</v>
      </c>
      <c r="H4" s="128" t="s">
        <v>93</v>
      </c>
      <c r="I4" s="128" t="s">
        <v>94</v>
      </c>
      <c r="J4" s="128" t="s">
        <v>79</v>
      </c>
      <c r="K4" s="128"/>
      <c r="L4" s="128"/>
      <c r="M4" s="128"/>
      <c r="N4" s="128"/>
      <c r="O4" s="150" t="s">
        <v>239</v>
      </c>
      <c r="P4" s="387" t="s">
        <v>49</v>
      </c>
      <c r="Q4" s="387" t="s">
        <v>80</v>
      </c>
      <c r="R4" s="387" t="s">
        <v>212</v>
      </c>
      <c r="S4" s="392" t="s">
        <v>1163</v>
      </c>
      <c r="T4" s="392" t="s">
        <v>79</v>
      </c>
      <c r="AT4" s="299"/>
      <c r="AU4" s="299"/>
      <c r="AZ4" s="45"/>
      <c r="BA4" s="45"/>
      <c r="BB4" s="45"/>
      <c r="BC4" s="45"/>
      <c r="BD4" s="45"/>
      <c r="BE4" s="45"/>
      <c r="BF4" s="45"/>
      <c r="BH4" s="45"/>
      <c r="BI4" s="307" t="s">
        <v>366</v>
      </c>
      <c r="BJ4" s="192" t="s">
        <v>363</v>
      </c>
      <c r="BK4" s="306" t="s">
        <v>80</v>
      </c>
      <c r="BL4" s="192" t="s">
        <v>364</v>
      </c>
      <c r="BM4" s="192" t="s">
        <v>365</v>
      </c>
      <c r="BN4" s="684"/>
      <c r="BS4" s="282"/>
      <c r="BT4" s="283"/>
      <c r="BU4" s="284" t="s">
        <v>348</v>
      </c>
      <c r="BV4" s="283"/>
      <c r="BW4" s="283"/>
      <c r="BX4" s="285"/>
      <c r="BY4" s="288"/>
      <c r="CB4" s="86"/>
      <c r="CC4" s="86"/>
      <c r="CD4" s="102"/>
      <c r="CE4" s="102"/>
      <c r="CF4" s="86"/>
      <c r="CG4" s="86"/>
      <c r="CK4" s="102"/>
      <c r="CL4" s="142"/>
      <c r="CM4" s="63"/>
      <c r="CQ4" s="86"/>
      <c r="CV4" s="86"/>
      <c r="CW4" s="86"/>
      <c r="CY4" s="54"/>
      <c r="CZ4" s="54"/>
      <c r="DA4" s="63"/>
      <c r="DB4" s="63"/>
      <c r="DC4" s="63"/>
      <c r="DD4" s="63"/>
      <c r="DE4" s="63"/>
      <c r="DM4" s="86"/>
      <c r="DN4" s="86"/>
      <c r="DO4" s="86"/>
      <c r="DP4" s="54"/>
      <c r="DQ4" s="54"/>
      <c r="DS4" s="63"/>
      <c r="DT4" s="63"/>
      <c r="DU4" s="63"/>
      <c r="DV4" s="63"/>
      <c r="EE4" s="86"/>
      <c r="EF4" s="86"/>
      <c r="EG4" s="54"/>
      <c r="EH4" s="54"/>
      <c r="EJ4" s="63"/>
      <c r="EK4" s="63"/>
      <c r="EL4" s="63"/>
      <c r="EM4" s="63"/>
      <c r="EQ4" s="86"/>
      <c r="ER4" s="86"/>
      <c r="ET4" s="54"/>
      <c r="EZ4" s="63"/>
      <c r="FA4" s="63"/>
      <c r="FB4" s="63"/>
      <c r="FC4" s="63"/>
      <c r="FG4" s="86"/>
      <c r="FI4" s="54"/>
      <c r="FJ4" s="63"/>
      <c r="FK4" s="63"/>
      <c r="FL4" s="63"/>
      <c r="FP4" s="63"/>
      <c r="FQ4" s="63"/>
      <c r="FR4" s="63"/>
      <c r="FS4" s="63"/>
      <c r="FY4" s="86"/>
      <c r="FZ4" s="86"/>
      <c r="GC4" s="54"/>
      <c r="GH4" s="54"/>
      <c r="GM4" s="86"/>
      <c r="GN4" s="63"/>
      <c r="GO4" s="63"/>
      <c r="GP4" s="63"/>
      <c r="GQ4" s="63"/>
      <c r="GR4" s="86"/>
      <c r="GT4" s="54"/>
      <c r="GY4" s="54"/>
      <c r="HE4" s="63"/>
      <c r="HF4" s="63"/>
      <c r="HG4" s="63"/>
      <c r="HH4" s="63"/>
      <c r="HI4" s="86"/>
      <c r="HK4" s="54"/>
      <c r="HL4" s="54"/>
      <c r="HM4" s="54"/>
      <c r="HN4" s="54"/>
      <c r="HO4" s="54"/>
      <c r="HP4" s="54"/>
      <c r="HV4" s="63"/>
      <c r="HW4" s="63"/>
      <c r="HX4" s="63"/>
      <c r="HY4" s="63"/>
      <c r="HZ4" s="86"/>
      <c r="IA4" s="86"/>
      <c r="IC4" s="54"/>
      <c r="IK4" s="86"/>
      <c r="IL4" s="63"/>
      <c r="IM4" s="63"/>
      <c r="IN4" s="63"/>
      <c r="IO4" s="63"/>
      <c r="IQ4" s="54"/>
      <c r="JB4" s="63"/>
      <c r="JC4" s="63"/>
      <c r="JD4" s="63"/>
      <c r="JE4" s="63"/>
    </row>
    <row r="5" spans="1:265">
      <c r="A5" s="86" t="s">
        <v>20</v>
      </c>
      <c r="B5" s="143"/>
      <c r="C5" s="143"/>
      <c r="E5" s="102"/>
      <c r="F5" s="102"/>
      <c r="G5" s="121" t="s">
        <v>106</v>
      </c>
      <c r="H5" s="129">
        <v>0.8</v>
      </c>
      <c r="I5" s="129">
        <v>0.2</v>
      </c>
      <c r="J5" s="129">
        <v>1</v>
      </c>
      <c r="K5" s="129"/>
      <c r="L5" s="129"/>
      <c r="M5" s="129"/>
      <c r="N5" s="129"/>
      <c r="O5" s="402" t="s">
        <v>71</v>
      </c>
      <c r="P5" s="1038">
        <v>0</v>
      </c>
      <c r="Q5" s="1038">
        <v>0</v>
      </c>
      <c r="R5" s="1038">
        <v>0</v>
      </c>
      <c r="S5" s="1039">
        <v>1</v>
      </c>
      <c r="T5" s="1041">
        <v>1</v>
      </c>
      <c r="U5" s="98"/>
      <c r="AT5" s="299"/>
      <c r="AU5" s="299"/>
      <c r="AZ5" s="45"/>
      <c r="BA5" s="45"/>
      <c r="BB5" s="45"/>
      <c r="BC5" s="45"/>
      <c r="BD5" s="45"/>
      <c r="BE5" s="45"/>
      <c r="BF5" s="45"/>
      <c r="BH5" s="45"/>
      <c r="BI5" s="45" t="s">
        <v>71</v>
      </c>
      <c r="BJ5" s="86"/>
      <c r="BK5" s="86"/>
      <c r="BL5" s="86"/>
      <c r="BS5" s="1554" t="s">
        <v>339</v>
      </c>
      <c r="BT5" s="1556"/>
      <c r="BU5" s="1555"/>
      <c r="BV5" s="1554" t="s">
        <v>340</v>
      </c>
      <c r="BW5" s="1555"/>
      <c r="BX5" s="281" t="s">
        <v>347</v>
      </c>
      <c r="BY5" s="289"/>
      <c r="CB5" s="86"/>
      <c r="CC5" s="86"/>
      <c r="CD5" s="102"/>
      <c r="CE5" s="102"/>
      <c r="CF5" s="86"/>
      <c r="CG5" s="86"/>
      <c r="CK5" s="102"/>
      <c r="CL5" s="142"/>
      <c r="CM5" s="63"/>
      <c r="CQ5" s="86"/>
      <c r="CV5" s="86"/>
      <c r="CW5" s="86"/>
      <c r="CY5" s="54"/>
      <c r="CZ5" s="54"/>
      <c r="DA5" s="63"/>
      <c r="DB5" s="63"/>
      <c r="DC5" s="63"/>
      <c r="DD5" s="63"/>
      <c r="DE5" s="63"/>
      <c r="DM5" s="86"/>
      <c r="DN5" s="86"/>
      <c r="DO5" s="86"/>
      <c r="DP5" s="54"/>
      <c r="DQ5" s="54"/>
      <c r="DS5" s="63"/>
      <c r="DT5" s="63"/>
      <c r="DU5" s="63"/>
      <c r="DV5" s="63"/>
      <c r="EE5" s="86"/>
      <c r="EF5" s="86"/>
      <c r="EG5" s="54"/>
      <c r="EH5" s="54"/>
      <c r="EJ5" s="63"/>
      <c r="EK5" s="63"/>
      <c r="EL5" s="63"/>
      <c r="EM5" s="63"/>
      <c r="EQ5" s="86"/>
      <c r="ER5" s="86"/>
      <c r="ET5" s="54"/>
      <c r="EZ5" s="63"/>
      <c r="FA5" s="63"/>
      <c r="FB5" s="63"/>
      <c r="FC5" s="63"/>
      <c r="FG5" s="86"/>
      <c r="FI5" s="54"/>
      <c r="FJ5" s="63"/>
      <c r="FK5" s="63"/>
      <c r="FL5" s="63"/>
      <c r="FP5" s="63"/>
      <c r="FQ5" s="63"/>
      <c r="FR5" s="63"/>
      <c r="FS5" s="63"/>
      <c r="FY5" s="86"/>
      <c r="FZ5" s="86"/>
      <c r="GC5" s="54"/>
      <c r="GH5" s="54"/>
      <c r="GM5" s="86"/>
      <c r="GN5" s="63"/>
      <c r="GO5" s="63"/>
      <c r="GP5" s="63"/>
      <c r="GQ5" s="63"/>
      <c r="GR5" s="86"/>
      <c r="GT5" s="54"/>
      <c r="GY5" s="54"/>
      <c r="HE5" s="63"/>
      <c r="HF5" s="63"/>
      <c r="HG5" s="63"/>
      <c r="HH5" s="63"/>
      <c r="HI5" s="86"/>
      <c r="HK5" s="54"/>
      <c r="HL5" s="54"/>
      <c r="HM5" s="54"/>
      <c r="HN5" s="54"/>
      <c r="HO5" s="54"/>
      <c r="HP5" s="54"/>
      <c r="HV5" s="63"/>
      <c r="HW5" s="63"/>
      <c r="HX5" s="63"/>
      <c r="HY5" s="63"/>
      <c r="HZ5" s="86"/>
      <c r="IA5" s="86"/>
      <c r="IC5" s="54"/>
      <c r="IK5" s="86"/>
      <c r="IL5" s="63"/>
      <c r="IM5" s="63"/>
      <c r="IN5" s="63"/>
      <c r="IO5" s="63"/>
      <c r="IQ5" s="54"/>
      <c r="JB5" s="63"/>
      <c r="JC5" s="63"/>
      <c r="JD5" s="63"/>
      <c r="JE5" s="63"/>
    </row>
    <row r="6" spans="1:265">
      <c r="A6" s="86" t="s">
        <v>21</v>
      </c>
      <c r="B6" s="143">
        <v>18264</v>
      </c>
      <c r="C6" s="143">
        <v>18264</v>
      </c>
      <c r="E6" s="102"/>
      <c r="F6" s="102"/>
      <c r="G6" s="131">
        <v>0</v>
      </c>
      <c r="H6" s="130">
        <v>3.1219512195121955E-2</v>
      </c>
      <c r="I6" s="130">
        <v>6.341463414634145E-3</v>
      </c>
      <c r="J6" s="130">
        <v>2.6243902439024396E-2</v>
      </c>
      <c r="K6" s="130"/>
      <c r="L6" s="130"/>
      <c r="M6" s="130"/>
      <c r="N6" s="130"/>
      <c r="O6" s="131">
        <v>0</v>
      </c>
      <c r="P6" s="185">
        <v>0</v>
      </c>
      <c r="Q6" s="185">
        <v>0</v>
      </c>
      <c r="R6" s="185">
        <v>0</v>
      </c>
      <c r="S6" s="1040">
        <v>4.8780487804878023E-3</v>
      </c>
      <c r="T6" s="185">
        <v>4.8780487804878023E-3</v>
      </c>
      <c r="U6" s="98"/>
      <c r="AT6" s="299"/>
      <c r="AU6" s="299"/>
      <c r="AZ6" s="45"/>
      <c r="BA6" s="45"/>
      <c r="BB6" s="45"/>
      <c r="BC6" s="45"/>
      <c r="BD6" s="45"/>
      <c r="BE6" s="45"/>
      <c r="BF6" s="45"/>
      <c r="BH6" s="45"/>
      <c r="BI6" s="308">
        <v>2</v>
      </c>
      <c r="BJ6" s="5">
        <f>BJ31*(1+InvestmentPropertyGrowth)/(1+$BI32)</f>
        <v>0</v>
      </c>
      <c r="BK6" s="5">
        <f>BK31*(1+OtherAssetsGrowth)/(1+$BI32)</f>
        <v>0</v>
      </c>
      <c r="BL6" s="5">
        <f>BL31*(1+FinancialAssetsGrowth)/(1+BI32)+BW32</f>
        <v>0</v>
      </c>
      <c r="BM6" s="5">
        <f>BM31*(1+PeronalAssetsGrowth)/(1+$BI32)</f>
        <v>13572.278405710889</v>
      </c>
      <c r="BN6" s="5"/>
      <c r="BT6" s="34" t="str">
        <f>IF(AnnuityType11=0,"n/a",AnnuityType11)</f>
        <v>Challenger Liquid Lifetime</v>
      </c>
      <c r="BU6" s="86">
        <f>AnnuityAssetTest11</f>
        <v>100000</v>
      </c>
      <c r="BV6" s="39" t="str">
        <f>IF(AnnuityType21=0,"n/a",AnnuityType21)</f>
        <v>Challenger Liquid Lifetime</v>
      </c>
      <c r="BW6" s="86">
        <f>AnnuityAssetTest21</f>
        <v>75000</v>
      </c>
      <c r="BX6" s="86" t="b">
        <f>LifeDeemed</f>
        <v>0</v>
      </c>
      <c r="CB6" s="86"/>
      <c r="CC6" s="86"/>
      <c r="CD6" s="102"/>
      <c r="CE6" s="102"/>
      <c r="CF6" s="86"/>
      <c r="CG6" s="86"/>
      <c r="CK6" s="102"/>
      <c r="CL6" s="142"/>
      <c r="CM6" s="63"/>
      <c r="CQ6" s="86"/>
      <c r="CV6" s="86"/>
      <c r="CW6" s="86"/>
      <c r="CY6" s="54"/>
      <c r="CZ6" s="54"/>
      <c r="DA6" s="63"/>
      <c r="DB6" s="63"/>
      <c r="DC6" s="63"/>
      <c r="DD6" s="63"/>
      <c r="DE6" s="63"/>
      <c r="DM6" s="86"/>
      <c r="DN6" s="86"/>
      <c r="DO6" s="86"/>
      <c r="DP6" s="54"/>
      <c r="DQ6" s="54"/>
      <c r="DS6" s="63"/>
      <c r="DT6" s="63"/>
      <c r="DU6" s="63"/>
      <c r="DV6" s="63"/>
      <c r="EE6" s="86"/>
      <c r="EF6" s="86"/>
      <c r="EG6" s="54"/>
      <c r="EH6" s="54"/>
      <c r="EJ6" s="63"/>
      <c r="EK6" s="63"/>
      <c r="EL6" s="63"/>
      <c r="EM6" s="63"/>
      <c r="EQ6" s="86"/>
      <c r="ER6" s="86"/>
      <c r="ET6" s="54"/>
      <c r="EZ6" s="63"/>
      <c r="FA6" s="63"/>
      <c r="FB6" s="63"/>
      <c r="FC6" s="63"/>
      <c r="FG6" s="86"/>
      <c r="FI6" s="54"/>
      <c r="FJ6" s="63"/>
      <c r="FK6" s="63"/>
      <c r="FL6" s="63"/>
      <c r="FP6" s="63"/>
      <c r="FQ6" s="63"/>
      <c r="FR6" s="63"/>
      <c r="FS6" s="63"/>
      <c r="FY6" s="86"/>
      <c r="FZ6" s="86"/>
      <c r="GC6" s="54"/>
      <c r="GH6" s="54"/>
      <c r="GM6" s="86"/>
      <c r="GN6" s="63"/>
      <c r="GO6" s="63"/>
      <c r="GP6" s="63"/>
      <c r="GQ6" s="63"/>
      <c r="GR6" s="86"/>
      <c r="GT6" s="54"/>
      <c r="GY6" s="54"/>
      <c r="HE6" s="63"/>
      <c r="HF6" s="63"/>
      <c r="HG6" s="63"/>
      <c r="HH6" s="63"/>
      <c r="HI6" s="86"/>
      <c r="HK6" s="54"/>
      <c r="HL6" s="54"/>
      <c r="HM6" s="54"/>
      <c r="HN6" s="54"/>
      <c r="HO6" s="54"/>
      <c r="HP6" s="54"/>
      <c r="HV6" s="63"/>
      <c r="HW6" s="63"/>
      <c r="HX6" s="63"/>
      <c r="HY6" s="63"/>
      <c r="HZ6" s="86"/>
      <c r="IA6" s="86"/>
      <c r="IC6" s="54"/>
      <c r="IK6" s="86"/>
      <c r="IL6" s="63"/>
      <c r="IM6" s="63"/>
      <c r="IN6" s="63"/>
      <c r="IO6" s="63"/>
      <c r="IQ6" s="54"/>
      <c r="JB6" s="63"/>
      <c r="JC6" s="63"/>
      <c r="JD6" s="63"/>
      <c r="JE6" s="63"/>
    </row>
    <row r="7" spans="1:265">
      <c r="A7" s="86" t="s">
        <v>24</v>
      </c>
      <c r="B7" s="118" t="s">
        <v>657</v>
      </c>
      <c r="C7" s="118" t="s">
        <v>657</v>
      </c>
      <c r="E7" s="102"/>
      <c r="F7" s="102"/>
      <c r="G7" s="131">
        <v>1</v>
      </c>
      <c r="H7" s="130">
        <v>3.1219512195121955E-2</v>
      </c>
      <c r="I7" s="130">
        <v>6.341463414634145E-3</v>
      </c>
      <c r="J7" s="130">
        <v>2.6243902439024396E-2</v>
      </c>
      <c r="K7" s="130"/>
      <c r="L7" s="130"/>
      <c r="M7" s="130"/>
      <c r="N7" s="130"/>
      <c r="O7" s="131">
        <v>1</v>
      </c>
      <c r="P7" s="185">
        <v>0</v>
      </c>
      <c r="Q7" s="185">
        <v>0</v>
      </c>
      <c r="R7" s="185">
        <v>0</v>
      </c>
      <c r="S7" s="1040">
        <v>4.8780487804878023E-3</v>
      </c>
      <c r="T7" s="185">
        <v>4.8780487804878023E-3</v>
      </c>
      <c r="AT7" s="299"/>
      <c r="AU7" s="299"/>
      <c r="AZ7" s="45"/>
      <c r="BA7" s="45"/>
      <c r="BB7" s="45"/>
      <c r="BC7" s="45"/>
      <c r="BD7" s="45"/>
      <c r="BE7" s="45"/>
      <c r="BF7" s="45"/>
      <c r="BH7" s="45"/>
      <c r="BI7" s="308">
        <v>3</v>
      </c>
      <c r="BJ7" s="5">
        <f>BJ32*(1+InvestmentPropertyGrowth)/(1+$BI33)</f>
        <v>0</v>
      </c>
      <c r="BK7" s="5">
        <f>BK32*(1+OtherAssetsGrowth)/(1+$BI33)</f>
        <v>0</v>
      </c>
      <c r="BL7" s="5">
        <f>BL32*(1+FinancialAssetsGrowth)/(1+BI33)+BW33</f>
        <v>0</v>
      </c>
      <c r="BM7" s="5">
        <f>BM32*(1+PeronalAssetsGrowth)/(1+$BI33)</f>
        <v>12910.216044456698</v>
      </c>
      <c r="BN7" s="5"/>
      <c r="BT7" s="34" t="str">
        <f>IF(AnnuityType12=0,"n/a",AnnuityType12)</f>
        <v>n/a</v>
      </c>
      <c r="BU7" s="86">
        <f>+AnnuityAssetTest12</f>
        <v>0</v>
      </c>
      <c r="BV7" s="39" t="str">
        <f>IF(AnnuityType22=0,"n/a",AnnuityType22)</f>
        <v>n/a</v>
      </c>
      <c r="BW7" s="86">
        <f>+AnnuityAssetTest22</f>
        <v>0</v>
      </c>
      <c r="BX7" s="86" t="b">
        <f>LifeDeemed</f>
        <v>0</v>
      </c>
      <c r="CB7" s="86"/>
      <c r="CC7" s="86"/>
      <c r="CD7" s="102"/>
      <c r="CE7" s="102"/>
      <c r="CF7" s="86"/>
      <c r="CG7" s="86"/>
      <c r="CK7" s="102"/>
      <c r="CL7" s="142"/>
      <c r="CM7" s="63"/>
      <c r="CQ7" s="86"/>
      <c r="CV7" s="86"/>
      <c r="CW7" s="86"/>
      <c r="CY7" s="54"/>
      <c r="CZ7" s="54"/>
      <c r="DA7" s="63"/>
      <c r="DB7" s="63"/>
      <c r="DC7" s="63"/>
      <c r="DD7" s="63"/>
      <c r="DE7" s="63"/>
      <c r="DM7" s="86"/>
      <c r="DN7" s="86"/>
      <c r="DO7" s="86"/>
      <c r="DP7" s="54"/>
      <c r="DQ7" s="54"/>
      <c r="DS7" s="63"/>
      <c r="DT7" s="63"/>
      <c r="DU7" s="63"/>
      <c r="DV7" s="63"/>
      <c r="EE7" s="86"/>
      <c r="EF7" s="86"/>
      <c r="EG7" s="54"/>
      <c r="EH7" s="54"/>
      <c r="EJ7" s="63"/>
      <c r="EK7" s="63"/>
      <c r="EL7" s="63"/>
      <c r="EM7" s="63"/>
      <c r="EQ7" s="86"/>
      <c r="ER7" s="86"/>
      <c r="ET7" s="54"/>
      <c r="EZ7" s="63"/>
      <c r="FA7" s="63"/>
      <c r="FB7" s="63"/>
      <c r="FC7" s="63"/>
      <c r="FG7" s="86"/>
      <c r="FI7" s="54"/>
      <c r="FJ7" s="63"/>
      <c r="FK7" s="63"/>
      <c r="FL7" s="63"/>
      <c r="FP7" s="63"/>
      <c r="FQ7" s="63"/>
      <c r="FR7" s="63"/>
      <c r="FS7" s="63"/>
      <c r="FY7" s="86"/>
      <c r="FZ7" s="86"/>
      <c r="GC7" s="54"/>
      <c r="GH7" s="54"/>
      <c r="GM7" s="86"/>
      <c r="GN7" s="63"/>
      <c r="GO7" s="63"/>
      <c r="GP7" s="63"/>
      <c r="GQ7" s="63"/>
      <c r="GR7" s="86"/>
      <c r="GT7" s="54"/>
      <c r="GY7" s="54"/>
      <c r="HE7" s="63"/>
      <c r="HF7" s="63"/>
      <c r="HG7" s="63"/>
      <c r="HH7" s="63"/>
      <c r="HI7" s="86"/>
      <c r="HK7" s="54"/>
      <c r="HL7" s="54"/>
      <c r="HM7" s="54"/>
      <c r="HN7" s="54"/>
      <c r="HO7" s="54"/>
      <c r="HP7" s="54"/>
      <c r="HV7" s="63"/>
      <c r="HW7" s="63"/>
      <c r="HX7" s="63"/>
      <c r="HY7" s="63"/>
      <c r="HZ7" s="86"/>
      <c r="IA7" s="86"/>
      <c r="IC7" s="54"/>
      <c r="IK7" s="86"/>
      <c r="IL7" s="63"/>
      <c r="IM7" s="63"/>
      <c r="IN7" s="63"/>
      <c r="IO7" s="63"/>
      <c r="IQ7" s="54"/>
      <c r="JB7" s="63"/>
      <c r="JC7" s="63"/>
      <c r="JD7" s="63"/>
      <c r="JE7" s="63"/>
    </row>
    <row r="8" spans="1:265">
      <c r="A8" s="86" t="s">
        <v>38</v>
      </c>
      <c r="B8" s="116">
        <v>66.811475409836063</v>
      </c>
      <c r="C8" s="116">
        <v>66.811475409836063</v>
      </c>
      <c r="E8" s="102"/>
      <c r="F8" s="102"/>
      <c r="G8" s="131">
        <v>2</v>
      </c>
      <c r="H8" s="130">
        <v>3.1219512195121955E-2</v>
      </c>
      <c r="I8" s="130">
        <v>6.341463414634145E-3</v>
      </c>
      <c r="J8" s="130">
        <v>2.6243902439024396E-2</v>
      </c>
      <c r="K8" s="130"/>
      <c r="L8" s="130"/>
      <c r="M8" s="130"/>
      <c r="N8" s="130"/>
      <c r="O8" s="131">
        <v>2</v>
      </c>
      <c r="P8" s="185">
        <v>0</v>
      </c>
      <c r="Q8" s="185">
        <v>0</v>
      </c>
      <c r="R8" s="185">
        <v>0</v>
      </c>
      <c r="S8" s="1040">
        <v>4.8780487804878023E-3</v>
      </c>
      <c r="T8" s="185">
        <v>4.8780487804878023E-3</v>
      </c>
      <c r="AT8" s="299"/>
      <c r="AU8" s="299"/>
      <c r="AZ8" s="45"/>
      <c r="BA8" s="45"/>
      <c r="BB8" s="45"/>
      <c r="BC8" s="45"/>
      <c r="BD8" s="45"/>
      <c r="BE8" s="45"/>
      <c r="BF8" s="45"/>
      <c r="BH8" s="45"/>
      <c r="BI8" s="308">
        <v>4</v>
      </c>
      <c r="BJ8" s="5">
        <f>BJ33*(1+InvestmentPropertyGrowth)/(1+$BI34)</f>
        <v>0</v>
      </c>
      <c r="BK8" s="5">
        <f>BK33*(1+OtherAssetsGrowth)/(1+$BI34)</f>
        <v>0</v>
      </c>
      <c r="BL8" s="5">
        <f>BL33*(1+FinancialAssetsGrowth)/(1+BI34)+BW34</f>
        <v>0</v>
      </c>
      <c r="BM8" s="5">
        <f>BM33*(1+PeronalAssetsGrowth)/(1+$BI34)</f>
        <v>12280.449408141738</v>
      </c>
      <c r="BN8" s="5"/>
      <c r="BT8" s="86" t="s">
        <v>458</v>
      </c>
      <c r="BU8" s="86">
        <f>AnnuityAssetTest13</f>
        <v>0</v>
      </c>
      <c r="BV8" s="86" t="s">
        <v>458</v>
      </c>
      <c r="BW8" s="86">
        <f>AnnuityAssetTest23</f>
        <v>0</v>
      </c>
      <c r="BX8" s="86" t="b">
        <f>LifeDeemed</f>
        <v>0</v>
      </c>
      <c r="CB8" s="86"/>
      <c r="CC8" s="86"/>
      <c r="CD8" s="102"/>
      <c r="CE8" s="102"/>
      <c r="CF8" s="86"/>
      <c r="CG8" s="86"/>
      <c r="CK8" s="102"/>
      <c r="CL8" s="142"/>
      <c r="CM8" s="63"/>
      <c r="CQ8" s="86"/>
      <c r="CV8" s="86"/>
      <c r="CW8" s="86"/>
      <c r="CY8" s="54"/>
      <c r="CZ8" s="54"/>
      <c r="DA8" s="63"/>
      <c r="DB8" s="63"/>
      <c r="DC8" s="63"/>
      <c r="DD8" s="63"/>
      <c r="DE8" s="63"/>
      <c r="DM8" s="86"/>
      <c r="DN8" s="86"/>
      <c r="DO8" s="86"/>
      <c r="DP8" s="54"/>
      <c r="DQ8" s="54"/>
      <c r="DS8" s="63"/>
      <c r="DT8" s="63"/>
      <c r="DU8" s="63"/>
      <c r="DV8" s="63"/>
      <c r="EE8" s="86"/>
      <c r="EF8" s="86"/>
      <c r="EG8" s="54"/>
      <c r="EH8" s="54"/>
      <c r="EJ8" s="63"/>
      <c r="EK8" s="63"/>
      <c r="EL8" s="63"/>
      <c r="EM8" s="63"/>
      <c r="EQ8" s="86"/>
      <c r="ER8" s="86"/>
      <c r="ET8" s="54"/>
      <c r="EZ8" s="63"/>
      <c r="FA8" s="63"/>
      <c r="FB8" s="63"/>
      <c r="FC8" s="63"/>
      <c r="FG8" s="86"/>
      <c r="FI8" s="54"/>
      <c r="FJ8" s="63"/>
      <c r="FK8" s="63"/>
      <c r="FL8" s="63"/>
      <c r="FP8" s="63"/>
      <c r="FQ8" s="63"/>
      <c r="FR8" s="63"/>
      <c r="FS8" s="63"/>
      <c r="FY8" s="86"/>
      <c r="FZ8" s="86"/>
      <c r="GC8" s="54"/>
      <c r="GH8" s="54"/>
      <c r="GM8" s="86"/>
      <c r="GN8" s="63"/>
      <c r="GO8" s="63"/>
      <c r="GP8" s="63"/>
      <c r="GQ8" s="63"/>
      <c r="GR8" s="86"/>
      <c r="GT8" s="54"/>
      <c r="GY8" s="54"/>
      <c r="HE8" s="63"/>
      <c r="HF8" s="63"/>
      <c r="HG8" s="63"/>
      <c r="HH8" s="63"/>
      <c r="HI8" s="86"/>
      <c r="HK8" s="54"/>
      <c r="HL8" s="54"/>
      <c r="HM8" s="54"/>
      <c r="HN8" s="54"/>
      <c r="HO8" s="54"/>
      <c r="HP8" s="54"/>
      <c r="HV8" s="63"/>
      <c r="HW8" s="63"/>
      <c r="HX8" s="63"/>
      <c r="HY8" s="63"/>
      <c r="HZ8" s="86"/>
      <c r="IA8" s="86"/>
      <c r="IC8" s="54"/>
      <c r="IK8" s="86"/>
      <c r="IL8" s="63"/>
      <c r="IM8" s="63"/>
      <c r="IN8" s="63"/>
      <c r="IO8" s="63"/>
      <c r="IQ8" s="54"/>
      <c r="JB8" s="63"/>
      <c r="JC8" s="63"/>
      <c r="JD8" s="63"/>
      <c r="JE8" s="63"/>
    </row>
    <row r="9" spans="1:265" ht="19.5" customHeight="1">
      <c r="A9" s="86" t="s">
        <v>67</v>
      </c>
      <c r="B9" s="294" t="s">
        <v>1264</v>
      </c>
      <c r="C9" s="293" t="s">
        <v>1264</v>
      </c>
      <c r="E9" s="102"/>
      <c r="F9" s="102"/>
      <c r="G9" s="131">
        <v>3</v>
      </c>
      <c r="H9" s="130">
        <v>3.1219512195121955E-2</v>
      </c>
      <c r="I9" s="130">
        <v>6.341463414634145E-3</v>
      </c>
      <c r="J9" s="130">
        <v>2.6243902439024396E-2</v>
      </c>
      <c r="K9" s="130"/>
      <c r="L9" s="130"/>
      <c r="M9" s="130"/>
      <c r="N9" s="130"/>
      <c r="O9" s="131">
        <v>3</v>
      </c>
      <c r="P9" s="185">
        <v>0</v>
      </c>
      <c r="Q9" s="185">
        <v>0</v>
      </c>
      <c r="R9" s="185">
        <v>0</v>
      </c>
      <c r="S9" s="1040">
        <v>4.8780487804878023E-3</v>
      </c>
      <c r="T9" s="185">
        <v>4.8780487804878023E-3</v>
      </c>
      <c r="AT9" s="299"/>
      <c r="AU9" s="299"/>
      <c r="AZ9" s="45"/>
      <c r="BA9" s="45"/>
      <c r="BB9" s="45"/>
      <c r="BC9" s="45"/>
      <c r="BD9" s="45"/>
      <c r="BE9" s="45"/>
      <c r="BF9" s="45"/>
      <c r="BH9" s="45"/>
      <c r="BI9" s="308">
        <v>5</v>
      </c>
      <c r="BJ9" s="5">
        <f>BJ34*(1+InvestmentPropertyGrowth)/(1+$BI35)</f>
        <v>0</v>
      </c>
      <c r="BK9" s="5">
        <f>BK34*(1+OtherAssetsGrowth)/(1+$BI35)</f>
        <v>0</v>
      </c>
      <c r="BL9" s="5">
        <f>BL34*(1+FinancialAssetsGrowth)/(1+BI35)+BW35</f>
        <v>0</v>
      </c>
      <c r="BM9" s="5">
        <f>BM34*(1+PeronalAssetsGrowth)/(1+$BI35)</f>
        <v>11681.403095549456</v>
      </c>
      <c r="BN9" s="5"/>
      <c r="BT9" s="34" t="str">
        <f>IF(TermAnnuityType11=0,"n/a",TermAnnuityType11)</f>
        <v>n/a</v>
      </c>
      <c r="BU9" s="86">
        <f>TermAnnuityAssetTest11</f>
        <v>0</v>
      </c>
      <c r="BV9" s="39" t="str">
        <f>IF(TermAnnuityType21=0,"n/a",TermAnnuityType21)</f>
        <v>n/a</v>
      </c>
      <c r="BW9" s="86">
        <f>+TermAnnuityAssetTest21</f>
        <v>0</v>
      </c>
      <c r="BX9" s="86" t="b">
        <f>TermDeemed</f>
        <v>0</v>
      </c>
      <c r="CB9" s="86"/>
      <c r="CC9" s="86"/>
      <c r="CD9" s="102"/>
      <c r="CE9" s="102"/>
      <c r="CF9" s="86"/>
      <c r="CG9" s="86"/>
      <c r="CK9" s="102"/>
      <c r="CL9" s="142"/>
      <c r="CM9" s="63"/>
      <c r="CQ9" s="86"/>
      <c r="CV9" s="86"/>
      <c r="CW9" s="86"/>
      <c r="CY9" s="54"/>
      <c r="CZ9" s="54"/>
      <c r="DA9" s="63"/>
      <c r="DB9" s="63"/>
      <c r="DC9" s="63"/>
      <c r="DD9" s="63"/>
      <c r="DE9" s="63"/>
      <c r="DM9" s="86"/>
      <c r="DN9" s="86"/>
      <c r="DO9" s="86"/>
      <c r="DP9" s="54"/>
      <c r="DQ9" s="54"/>
      <c r="DS9" s="63"/>
      <c r="DT9" s="63"/>
      <c r="DU9" s="63"/>
      <c r="DV9" s="63"/>
      <c r="EE9" s="86"/>
      <c r="EF9" s="86"/>
      <c r="EG9" s="54"/>
      <c r="EH9" s="54"/>
      <c r="EJ9" s="63"/>
      <c r="EK9" s="63"/>
      <c r="EL9" s="63"/>
      <c r="EM9" s="63"/>
      <c r="EQ9" s="86"/>
      <c r="ER9" s="86"/>
      <c r="ET9" s="54"/>
      <c r="EZ9" s="63"/>
      <c r="FA9" s="63"/>
      <c r="FB9" s="63"/>
      <c r="FC9" s="63"/>
      <c r="FG9" s="86"/>
      <c r="FI9" s="54"/>
      <c r="FJ9" s="63"/>
      <c r="FK9" s="63"/>
      <c r="FL9" s="63"/>
      <c r="FP9" s="63"/>
      <c r="FQ9" s="63"/>
      <c r="FR9" s="63"/>
      <c r="FS9" s="63"/>
      <c r="FY9" s="86"/>
      <c r="FZ9" s="86"/>
      <c r="GC9" s="54"/>
      <c r="GH9" s="54"/>
      <c r="GM9" s="86"/>
      <c r="GN9" s="63"/>
      <c r="GO9" s="63"/>
      <c r="GP9" s="63"/>
      <c r="GQ9" s="63"/>
      <c r="GR9" s="86"/>
      <c r="GT9" s="54"/>
      <c r="GY9" s="54"/>
      <c r="HE9" s="63"/>
      <c r="HF9" s="63"/>
      <c r="HG9" s="63"/>
      <c r="HH9" s="63"/>
      <c r="HI9" s="86"/>
      <c r="HK9" s="54"/>
      <c r="HL9" s="54"/>
      <c r="HM9" s="54"/>
      <c r="HN9" s="54"/>
      <c r="HO9" s="54"/>
      <c r="HP9" s="54"/>
      <c r="HV9" s="63"/>
      <c r="HW9" s="63"/>
      <c r="HX9" s="63"/>
      <c r="HY9" s="63"/>
      <c r="HZ9" s="86"/>
      <c r="IA9" s="86"/>
      <c r="IC9" s="54"/>
      <c r="IK9" s="86"/>
      <c r="IL9" s="63"/>
      <c r="IM9" s="63"/>
      <c r="IN9" s="63"/>
      <c r="IO9" s="63"/>
      <c r="IQ9" s="54"/>
      <c r="JB9" s="63"/>
      <c r="JC9" s="63"/>
      <c r="JD9" s="63"/>
      <c r="JE9" s="63"/>
    </row>
    <row r="10" spans="1:265" ht="31.5" customHeight="1">
      <c r="A10" s="86" t="s">
        <v>359</v>
      </c>
      <c r="B10" s="292" t="s">
        <v>1170</v>
      </c>
      <c r="C10" s="292" t="s">
        <v>1170</v>
      </c>
      <c r="F10" s="102"/>
      <c r="G10" s="131">
        <v>4</v>
      </c>
      <c r="H10" s="130">
        <v>3.1219512195121955E-2</v>
      </c>
      <c r="I10" s="130">
        <v>6.341463414634145E-3</v>
      </c>
      <c r="J10" s="130">
        <v>2.6243902439024396E-2</v>
      </c>
      <c r="K10" s="130"/>
      <c r="L10" s="130"/>
      <c r="M10" s="130"/>
      <c r="N10" s="130"/>
      <c r="O10" s="131">
        <v>4</v>
      </c>
      <c r="P10" s="185">
        <v>0</v>
      </c>
      <c r="Q10" s="185">
        <v>0</v>
      </c>
      <c r="R10" s="185">
        <v>0</v>
      </c>
      <c r="S10" s="1040">
        <v>4.8780487804878023E-3</v>
      </c>
      <c r="T10" s="185">
        <v>4.8780487804878023E-3</v>
      </c>
      <c r="AT10" s="299"/>
      <c r="AU10" s="299"/>
      <c r="AZ10" s="45"/>
      <c r="BA10" s="45"/>
      <c r="BB10" s="45"/>
      <c r="BC10" s="45"/>
      <c r="BD10" s="45"/>
      <c r="BE10" s="45"/>
      <c r="BF10" s="45"/>
      <c r="BH10" s="45"/>
      <c r="BI10" s="308">
        <v>6</v>
      </c>
      <c r="BJ10" s="5">
        <f>BJ35*(1+InvestmentPropertyGrowth)/(1+$BI36)</f>
        <v>0</v>
      </c>
      <c r="BK10" s="5">
        <f>BK35*(1+OtherAssetsGrowth)/(1+$BI36)</f>
        <v>0</v>
      </c>
      <c r="BL10" s="5">
        <f>BL35*(1+FinancialAssetsGrowth)/(1+BI36)+BW36</f>
        <v>0</v>
      </c>
      <c r="BM10" s="5">
        <f>BM35*(1+PeronalAssetsGrowth)/(1+$BI36)</f>
        <v>11111.578554303138</v>
      </c>
      <c r="BN10" s="5"/>
      <c r="BT10" s="87">
        <f>TermAnnuityRN11</f>
        <v>0</v>
      </c>
      <c r="BU10" s="86" t="s">
        <v>352</v>
      </c>
      <c r="BV10" s="87">
        <f>TermAnnuityRN21</f>
        <v>0</v>
      </c>
      <c r="BW10" s="87" t="s">
        <v>352</v>
      </c>
      <c r="CB10" s="86"/>
      <c r="CC10" s="86"/>
      <c r="CD10" s="102"/>
      <c r="CE10" s="102"/>
      <c r="CF10" s="86"/>
      <c r="CG10" s="86"/>
      <c r="CK10" s="102"/>
      <c r="CL10" s="142"/>
      <c r="CM10" s="63"/>
      <c r="CQ10" s="86"/>
      <c r="CV10" s="86"/>
      <c r="CW10" s="86"/>
      <c r="CY10" s="54"/>
      <c r="CZ10" s="54"/>
      <c r="DA10" s="63"/>
      <c r="DB10" s="63"/>
      <c r="DC10" s="63"/>
      <c r="DD10" s="63"/>
      <c r="DE10" s="63"/>
      <c r="DM10" s="86"/>
      <c r="DN10" s="86"/>
      <c r="DO10" s="86"/>
      <c r="DP10" s="54"/>
      <c r="DQ10" s="54"/>
      <c r="DS10" s="63"/>
      <c r="DT10" s="63"/>
      <c r="DU10" s="63"/>
      <c r="DV10" s="63"/>
      <c r="EE10" s="86"/>
      <c r="EF10" s="86"/>
      <c r="EG10" s="54"/>
      <c r="EH10" s="54"/>
      <c r="EJ10" s="63"/>
      <c r="EK10" s="63"/>
      <c r="EL10" s="63"/>
      <c r="EM10" s="63"/>
      <c r="EQ10" s="86"/>
      <c r="ER10" s="86"/>
      <c r="ET10" s="54"/>
      <c r="EZ10" s="63"/>
      <c r="FA10" s="63"/>
      <c r="FB10" s="63"/>
      <c r="FC10" s="63"/>
      <c r="FG10" s="86"/>
      <c r="FI10" s="54"/>
      <c r="FJ10" s="63"/>
      <c r="FK10" s="63"/>
      <c r="FL10" s="63"/>
      <c r="FP10" s="63"/>
      <c r="FQ10" s="63"/>
      <c r="FR10" s="63"/>
      <c r="FS10" s="63"/>
      <c r="FY10" s="86"/>
      <c r="FZ10" s="86"/>
      <c r="GC10" s="54"/>
      <c r="GH10" s="54"/>
      <c r="GK10" s="87" t="s">
        <v>240</v>
      </c>
      <c r="GM10" s="86"/>
      <c r="GN10" s="63"/>
      <c r="GO10" s="63"/>
      <c r="GP10" s="63"/>
      <c r="GQ10" s="63"/>
      <c r="GR10" s="86"/>
      <c r="GT10" s="54"/>
      <c r="GY10" s="54"/>
      <c r="HE10" s="63"/>
      <c r="HF10" s="63"/>
      <c r="HG10" s="63"/>
      <c r="HH10" s="63"/>
      <c r="HI10" s="86"/>
      <c r="HK10" s="54"/>
      <c r="HL10" s="54"/>
      <c r="HM10" s="54"/>
      <c r="HN10" s="54"/>
      <c r="HO10" s="54"/>
      <c r="HP10" s="54"/>
      <c r="HV10" s="63"/>
      <c r="HW10" s="63"/>
      <c r="HX10" s="63"/>
      <c r="HY10" s="63"/>
      <c r="HZ10" s="86"/>
      <c r="IA10" s="86"/>
      <c r="IC10" s="54"/>
      <c r="IK10" s="86"/>
      <c r="IL10" s="63"/>
      <c r="IM10" s="63"/>
      <c r="IN10" s="63"/>
      <c r="IO10" s="63"/>
      <c r="IQ10" s="54"/>
      <c r="JB10" s="63"/>
      <c r="JC10" s="63"/>
      <c r="JD10" s="63"/>
      <c r="JE10" s="63"/>
    </row>
    <row r="11" spans="1:265">
      <c r="F11" s="102"/>
      <c r="G11" s="132"/>
      <c r="H11" s="133"/>
      <c r="I11" s="133"/>
      <c r="J11" s="131"/>
      <c r="K11" s="131"/>
      <c r="L11" s="131"/>
      <c r="M11" s="131"/>
      <c r="N11" s="131"/>
      <c r="O11" s="131"/>
      <c r="P11" s="131"/>
      <c r="Q11" s="131"/>
      <c r="R11" s="131"/>
      <c r="S11" s="185"/>
      <c r="AG11" s="8" t="s">
        <v>467</v>
      </c>
      <c r="AS11" s="118"/>
      <c r="AZ11" s="45"/>
      <c r="BA11" s="45"/>
      <c r="BB11" s="45"/>
      <c r="BC11" s="45"/>
      <c r="BD11" s="45"/>
      <c r="BE11" s="45"/>
      <c r="BF11" s="45"/>
      <c r="BH11" s="45"/>
      <c r="BJ11" s="246"/>
      <c r="BK11" s="86"/>
      <c r="BL11" s="54"/>
      <c r="BT11" s="34" t="str">
        <f>IF(TermAnnuityType12=0,"n/a",TermAnnuityType12)</f>
        <v>n/a</v>
      </c>
      <c r="BU11" s="86">
        <f>+TermAnnuityAssetTest12</f>
        <v>0</v>
      </c>
      <c r="BV11" s="34" t="str">
        <f>IF(TermAnnuityType22=0,"n/a",TermAnnuityType22)</f>
        <v>n/a</v>
      </c>
      <c r="BW11" s="86">
        <f>+TermAnnuityAssetTest22</f>
        <v>0</v>
      </c>
      <c r="BX11" s="86" t="b">
        <f>TermDeemed</f>
        <v>0</v>
      </c>
      <c r="CB11" s="86"/>
      <c r="CD11" s="102"/>
      <c r="CF11" s="86"/>
      <c r="CK11" s="142"/>
      <c r="CL11" s="63"/>
      <c r="CQ11" s="86"/>
      <c r="CV11" s="86"/>
      <c r="CY11" s="54"/>
      <c r="CZ11" s="63"/>
      <c r="DM11" s="86"/>
      <c r="DN11" s="86"/>
      <c r="DP11" s="54"/>
      <c r="EE11" s="86"/>
      <c r="EG11" s="54"/>
      <c r="EO11" s="343"/>
      <c r="EP11" s="343"/>
      <c r="EQ11" s="86"/>
      <c r="ES11" s="54"/>
      <c r="FG11" s="86"/>
      <c r="FH11" s="54"/>
      <c r="FI11" s="63"/>
      <c r="FJ11" s="63"/>
      <c r="FK11" s="63"/>
      <c r="FO11" s="45"/>
      <c r="FT11" s="86"/>
      <c r="FW11" s="63"/>
      <c r="FX11" s="86"/>
      <c r="FY11" s="86"/>
      <c r="GC11" s="54"/>
      <c r="GK11" s="178" t="s">
        <v>241</v>
      </c>
      <c r="GL11" s="86"/>
      <c r="GM11" s="86"/>
      <c r="GT11" s="54"/>
      <c r="HC11" s="63"/>
      <c r="HD11" s="86"/>
      <c r="HK11" s="54"/>
      <c r="HL11" s="54"/>
      <c r="HM11" s="54"/>
      <c r="HN11" s="54"/>
      <c r="HO11" s="54"/>
      <c r="HT11" s="63"/>
      <c r="HU11" s="86"/>
      <c r="HZ11" s="86"/>
      <c r="IA11" s="86"/>
      <c r="IB11" s="54"/>
      <c r="IK11" s="86"/>
    </row>
    <row r="12" spans="1:265">
      <c r="B12" s="8" t="s">
        <v>25</v>
      </c>
      <c r="F12" s="102"/>
      <c r="G12" s="132"/>
      <c r="H12" s="133"/>
      <c r="I12" s="133"/>
      <c r="J12" s="131"/>
      <c r="K12" s="131"/>
      <c r="L12" s="131"/>
      <c r="M12" s="131"/>
      <c r="N12" s="131"/>
      <c r="O12" s="131"/>
      <c r="P12" s="131"/>
      <c r="Q12" s="131"/>
      <c r="R12" s="131"/>
      <c r="S12" s="176"/>
      <c r="AG12" s="34" t="s">
        <v>468</v>
      </c>
      <c r="AH12" s="139">
        <v>42667.687395833331</v>
      </c>
      <c r="AI12" s="118" t="str">
        <f>IF(DateUseHybridAssetTest="","","this is year " &amp;YEARFRAC(DateUseHybridAssetTest,ValDate)+1)</f>
        <v>this is year 1</v>
      </c>
      <c r="AS12" s="118"/>
      <c r="AZ12" s="45"/>
      <c r="BA12" s="45"/>
      <c r="BB12" s="45"/>
      <c r="BC12" s="45"/>
      <c r="BD12" s="45"/>
      <c r="BE12" s="45"/>
      <c r="BF12" s="45"/>
      <c r="BH12" s="45"/>
      <c r="BJ12" s="246"/>
      <c r="BK12" s="86"/>
      <c r="BL12" s="54"/>
      <c r="BT12" s="87">
        <f>TermAnnuityRN12</f>
        <v>0</v>
      </c>
      <c r="BU12" s="87" t="s">
        <v>352</v>
      </c>
      <c r="BV12" s="87">
        <f>TermAnnuityRN22</f>
        <v>0</v>
      </c>
      <c r="BW12" s="87" t="s">
        <v>352</v>
      </c>
      <c r="CB12" s="86"/>
      <c r="CD12" s="102"/>
      <c r="CF12" s="86"/>
      <c r="CK12" s="142"/>
      <c r="CL12" s="63"/>
      <c r="CQ12" s="86"/>
      <c r="CV12" s="86"/>
      <c r="CY12" s="54"/>
      <c r="CZ12" s="63"/>
      <c r="DM12" s="86"/>
      <c r="DN12" s="86"/>
      <c r="DP12" s="54"/>
      <c r="EE12" s="86"/>
      <c r="EG12" s="54"/>
      <c r="EQ12" s="86"/>
      <c r="ER12" s="86"/>
      <c r="ES12" s="54"/>
      <c r="FG12" s="86"/>
      <c r="FH12" s="54"/>
      <c r="FI12" s="63"/>
      <c r="FJ12" s="63"/>
      <c r="FK12" s="63"/>
      <c r="FO12" s="45"/>
      <c r="FT12" s="86"/>
      <c r="FW12" s="63"/>
      <c r="FX12" s="86"/>
      <c r="FY12" s="86"/>
      <c r="GC12" s="54"/>
      <c r="GK12" s="178" t="s">
        <v>242</v>
      </c>
      <c r="GL12" s="86"/>
      <c r="GM12" s="86"/>
      <c r="GT12" s="54"/>
      <c r="HC12" s="63"/>
      <c r="HD12" s="86"/>
      <c r="HK12" s="54"/>
      <c r="HL12" s="54"/>
      <c r="HM12" s="54"/>
      <c r="HN12" s="54"/>
      <c r="HO12" s="54"/>
      <c r="HT12" s="63"/>
      <c r="HU12" s="86"/>
      <c r="HZ12" s="86"/>
      <c r="IA12" s="86"/>
      <c r="IB12" s="54"/>
      <c r="IK12" s="86"/>
    </row>
    <row r="13" spans="1:265">
      <c r="A13" s="86" t="s">
        <v>26</v>
      </c>
      <c r="B13" s="118" t="b">
        <v>1</v>
      </c>
      <c r="E13" s="102"/>
      <c r="F13" s="102"/>
      <c r="G13" s="132"/>
      <c r="H13" s="133"/>
      <c r="I13" s="133"/>
      <c r="J13" s="131"/>
      <c r="K13" s="131"/>
      <c r="L13" s="131"/>
      <c r="M13" s="131"/>
      <c r="N13" s="131"/>
      <c r="O13" s="131"/>
      <c r="P13" s="131"/>
      <c r="Q13" s="131"/>
      <c r="R13" s="131"/>
      <c r="S13" s="176"/>
      <c r="AG13" s="34" t="s">
        <v>472</v>
      </c>
      <c r="AH13" s="403">
        <v>296500</v>
      </c>
      <c r="AI13" s="63">
        <v>1.5</v>
      </c>
      <c r="AS13" s="118"/>
      <c r="AZ13" s="45"/>
      <c r="BA13" s="45"/>
      <c r="BB13" s="45"/>
      <c r="BC13" s="45"/>
      <c r="BD13" s="45"/>
      <c r="BE13" s="45"/>
      <c r="BF13" s="45"/>
      <c r="BH13" s="45"/>
      <c r="BJ13" s="246"/>
      <c r="BK13" s="86"/>
      <c r="BL13" s="54"/>
      <c r="CB13" s="86"/>
      <c r="CD13" s="102"/>
      <c r="CF13" s="86"/>
      <c r="CK13" s="142"/>
      <c r="CL13" s="63"/>
      <c r="CQ13" s="86"/>
      <c r="CV13" s="86"/>
      <c r="CY13" s="54"/>
      <c r="CZ13" s="63"/>
      <c r="DM13" s="86"/>
      <c r="DN13" s="86"/>
      <c r="DP13" s="54"/>
      <c r="EE13" s="86"/>
      <c r="EG13" s="54"/>
      <c r="EQ13" s="86"/>
      <c r="ER13" s="86"/>
      <c r="ES13" s="54"/>
      <c r="FG13" s="86"/>
      <c r="FH13" s="54"/>
      <c r="FI13" s="63"/>
      <c r="FJ13" s="63"/>
      <c r="FK13" s="63"/>
      <c r="FO13" s="45"/>
      <c r="FT13" s="86"/>
      <c r="FW13" s="63"/>
      <c r="FX13" s="86"/>
      <c r="FY13" s="86"/>
      <c r="GC13" s="54"/>
      <c r="GK13" s="178" t="s">
        <v>244</v>
      </c>
      <c r="GL13" s="86"/>
      <c r="GM13" s="86"/>
      <c r="GT13" s="54"/>
      <c r="HC13" s="63"/>
      <c r="HD13" s="86"/>
      <c r="HK13" s="54"/>
      <c r="HL13" s="54"/>
      <c r="HM13" s="54"/>
      <c r="HN13" s="54"/>
      <c r="HO13" s="54"/>
      <c r="HT13" s="63"/>
      <c r="HU13" s="86"/>
      <c r="HZ13" s="86"/>
      <c r="IA13" s="86"/>
      <c r="IB13" s="54"/>
      <c r="IK13" s="86"/>
    </row>
    <row r="14" spans="1:265">
      <c r="A14" s="86" t="s">
        <v>231</v>
      </c>
      <c r="B14" s="44">
        <v>175000</v>
      </c>
      <c r="E14" s="102"/>
      <c r="F14" s="102"/>
      <c r="G14" s="102"/>
      <c r="H14" s="134"/>
      <c r="I14" s="134"/>
      <c r="J14" s="102"/>
      <c r="K14" s="102"/>
      <c r="L14" s="102"/>
      <c r="M14" s="102"/>
      <c r="N14" s="102"/>
      <c r="O14" s="37"/>
      <c r="P14" s="37"/>
      <c r="Q14" s="37"/>
      <c r="R14" s="102"/>
      <c r="S14" s="142"/>
      <c r="AG14" s="34" t="s">
        <v>473</v>
      </c>
      <c r="AH14" s="403">
        <v>373253.60972067941</v>
      </c>
      <c r="AI14" s="63">
        <v>3</v>
      </c>
      <c r="AK14" s="404"/>
      <c r="AS14" s="118"/>
      <c r="AZ14" s="45"/>
      <c r="BA14" s="45"/>
      <c r="BB14" s="45"/>
      <c r="BC14" s="45"/>
      <c r="BD14" s="45"/>
      <c r="BE14" s="45"/>
      <c r="BF14" s="45"/>
      <c r="BH14" s="45"/>
      <c r="BJ14" s="246"/>
      <c r="BK14" s="86"/>
      <c r="BL14" s="54"/>
      <c r="BR14" s="17" t="s">
        <v>353</v>
      </c>
      <c r="BS14" s="279" t="s">
        <v>329</v>
      </c>
      <c r="BT14" s="279" t="s">
        <v>331</v>
      </c>
      <c r="BU14" s="279" t="s">
        <v>332</v>
      </c>
      <c r="BV14" s="278" t="s">
        <v>335</v>
      </c>
      <c r="BW14" s="278" t="s">
        <v>341</v>
      </c>
      <c r="BX14" s="278" t="s">
        <v>343</v>
      </c>
      <c r="BY14" s="278"/>
      <c r="CB14" s="86"/>
      <c r="CD14" s="102"/>
      <c r="CF14" s="86"/>
      <c r="CK14" s="142"/>
      <c r="CL14" s="63"/>
      <c r="CQ14" s="86"/>
      <c r="CV14" s="86"/>
      <c r="CY14" s="54"/>
      <c r="CZ14" s="63"/>
      <c r="DM14" s="86"/>
      <c r="DN14" s="86"/>
      <c r="DP14" s="54"/>
      <c r="EE14" s="86"/>
      <c r="EG14" s="54"/>
      <c r="EQ14" s="86"/>
      <c r="ER14" s="86"/>
      <c r="ES14" s="54"/>
      <c r="FG14" s="86"/>
      <c r="FH14" s="54"/>
      <c r="FI14" s="63"/>
      <c r="FJ14" s="63"/>
      <c r="FK14" s="63"/>
      <c r="FO14" s="45"/>
      <c r="FT14" s="86"/>
      <c r="FW14" s="63"/>
      <c r="FX14" s="86"/>
      <c r="FY14" s="86"/>
      <c r="GC14" s="54"/>
      <c r="GK14" s="178" t="s">
        <v>243</v>
      </c>
      <c r="GL14" s="86"/>
      <c r="GM14" s="86"/>
      <c r="GT14" s="54"/>
      <c r="HC14" s="63"/>
      <c r="HD14" s="86"/>
      <c r="HK14" s="54"/>
      <c r="HL14" s="54"/>
      <c r="HM14" s="54"/>
      <c r="HN14" s="54"/>
      <c r="HO14" s="54"/>
      <c r="HT14" s="63"/>
      <c r="HU14" s="86"/>
      <c r="HZ14" s="86"/>
      <c r="IA14" s="86"/>
      <c r="IB14" s="54"/>
      <c r="IK14" s="86"/>
    </row>
    <row r="15" spans="1:265">
      <c r="A15" s="86" t="s">
        <v>209</v>
      </c>
      <c r="B15" s="162">
        <v>175000</v>
      </c>
      <c r="C15" s="48" t="s">
        <v>214</v>
      </c>
      <c r="D15" s="48" t="s">
        <v>217</v>
      </c>
      <c r="E15" s="150" t="s">
        <v>215</v>
      </c>
      <c r="F15" s="102"/>
      <c r="G15" s="102"/>
      <c r="H15" s="134"/>
      <c r="I15" s="134"/>
      <c r="J15" s="102"/>
      <c r="K15" s="102"/>
      <c r="L15" s="102"/>
      <c r="M15" s="102"/>
      <c r="N15" s="102"/>
      <c r="O15" s="37"/>
      <c r="P15" s="37"/>
      <c r="Q15" s="37"/>
      <c r="R15" s="102"/>
      <c r="S15" s="142"/>
      <c r="AG15" s="34" t="s">
        <v>469</v>
      </c>
      <c r="AH15" s="404">
        <v>0.81095890410958904</v>
      </c>
      <c r="AR15" s="300"/>
      <c r="AS15" s="118"/>
      <c r="AZ15" s="45"/>
      <c r="BA15" s="45"/>
      <c r="BB15" s="45"/>
      <c r="BC15" s="45"/>
      <c r="BD15" s="45"/>
      <c r="BE15" s="45"/>
      <c r="BF15" s="45"/>
      <c r="BH15" s="45"/>
      <c r="BJ15" s="246"/>
      <c r="BK15" s="86"/>
      <c r="BL15" s="86"/>
      <c r="BR15" s="17" t="s">
        <v>338</v>
      </c>
      <c r="BS15" s="279" t="s">
        <v>330</v>
      </c>
      <c r="BT15" s="279" t="s">
        <v>330</v>
      </c>
      <c r="BU15" s="279" t="s">
        <v>333</v>
      </c>
      <c r="BV15" s="278" t="s">
        <v>336</v>
      </c>
      <c r="BW15" s="278" t="s">
        <v>342</v>
      </c>
      <c r="BX15" s="278" t="s">
        <v>344</v>
      </c>
      <c r="BY15" s="278"/>
      <c r="CB15" s="86"/>
      <c r="CD15" s="102"/>
      <c r="CF15" s="86"/>
      <c r="CK15" s="142"/>
      <c r="CL15" s="63"/>
      <c r="CQ15" s="86"/>
      <c r="CV15" s="86"/>
      <c r="CY15" s="54"/>
      <c r="CZ15" s="63"/>
      <c r="DM15" s="86"/>
      <c r="DN15" s="86"/>
      <c r="DP15" s="54"/>
      <c r="EE15" s="86"/>
      <c r="EG15" s="54"/>
      <c r="EQ15" s="86"/>
      <c r="ER15" s="86"/>
      <c r="ES15" s="54"/>
      <c r="FG15" s="86"/>
      <c r="FH15" s="54"/>
      <c r="FI15" s="63"/>
      <c r="FJ15" s="63"/>
      <c r="FK15" s="63"/>
      <c r="FO15" s="45"/>
      <c r="FT15" s="86"/>
      <c r="FW15" s="63"/>
      <c r="FX15" s="86"/>
      <c r="FY15" s="86"/>
      <c r="GC15" s="54"/>
      <c r="GK15" s="45"/>
      <c r="GL15" s="86"/>
      <c r="GM15" s="86"/>
      <c r="GT15" s="54"/>
      <c r="HC15" s="63"/>
      <c r="HD15" s="86"/>
      <c r="HK15" s="54"/>
      <c r="HL15" s="54"/>
      <c r="HM15" s="54"/>
      <c r="HN15" s="54"/>
      <c r="HO15" s="54"/>
      <c r="HT15" s="63"/>
      <c r="HU15" s="86"/>
      <c r="HZ15" s="86"/>
      <c r="IA15" s="86"/>
      <c r="IB15" s="54"/>
      <c r="IK15" s="86"/>
    </row>
    <row r="16" spans="1:265" ht="16.5" thickBot="1">
      <c r="A16" s="86" t="s">
        <v>78</v>
      </c>
      <c r="B16" s="179">
        <v>15000</v>
      </c>
      <c r="C16" s="54">
        <v>-2.5000000000000001E-2</v>
      </c>
      <c r="D16" s="54" t="s">
        <v>216</v>
      </c>
      <c r="E16" s="102" t="s">
        <v>216</v>
      </c>
      <c r="F16" s="102"/>
      <c r="G16" s="102"/>
      <c r="H16" s="134"/>
      <c r="I16" s="134"/>
      <c r="J16" s="102"/>
      <c r="K16" s="268"/>
      <c r="L16" s="102"/>
      <c r="M16" s="102"/>
      <c r="N16" s="102"/>
      <c r="O16" s="37"/>
      <c r="P16" s="37"/>
      <c r="Q16" s="37"/>
      <c r="R16" s="102"/>
      <c r="S16" s="86"/>
      <c r="AG16" s="34" t="s">
        <v>470</v>
      </c>
      <c r="AH16" s="403">
        <v>2308.3619178082195</v>
      </c>
      <c r="AK16" s="405"/>
      <c r="AP16" s="118"/>
      <c r="AQ16" s="118"/>
      <c r="AR16" s="300"/>
      <c r="AT16" s="300"/>
      <c r="AU16" s="300"/>
      <c r="AZ16" s="45"/>
      <c r="BA16" s="45"/>
      <c r="BB16" s="45"/>
      <c r="BC16" s="45"/>
      <c r="BD16" s="45"/>
      <c r="BE16" s="45"/>
      <c r="BF16" s="45"/>
      <c r="BH16" s="86"/>
      <c r="BI16" s="99"/>
      <c r="BJ16" s="99"/>
      <c r="BK16" s="145"/>
      <c r="BL16" s="145"/>
      <c r="BM16" s="145"/>
      <c r="BN16" s="145"/>
      <c r="BR16" s="17" t="s">
        <v>337</v>
      </c>
      <c r="BS16" s="29">
        <f>AnnuityDeathCV11+AnnuityDeathCV12+TermAnnuityDeathCV11+TermAnnuityDeathCV12+AnnuityDeathCV21+AnnuityDeathCV22+TermAnnuityDeathCV21+TermAnnuityDeathCV22+AnnuityDeathCV13+AnnuityDeathCV23</f>
        <v>175000</v>
      </c>
      <c r="BT16" s="29">
        <f>AnnuityVolCV11+AnnuityVolCV12+TermAnnuityVolCV11+TermAnnuityVolCV12+AnnuityVolCV21+AnnuityVolCV22+TermAnnuityVolCV21+TermAnnuityVolCV22+AnnuityVolCV13+AnnuityVolCV23</f>
        <v>151062.63531047103</v>
      </c>
      <c r="BU16" s="29">
        <f>AnnuityIncTest11+AnnuityIncTest12+TermAnnuityIncTest11+TermAnnuityIncTest12+AnnuityIncTest21+AnnuityIncTest22+TermAnnuityIncTest21+TermAnnuityIncTest22+AnnuityIncTest13+AnnuityIncTest23</f>
        <v>0</v>
      </c>
      <c r="BV16" s="86" t="s">
        <v>334</v>
      </c>
      <c r="BW16" s="86">
        <f>BU6+BW6+BW9+BU9+BU11+BW11+BU7+BW7+BU8+BW8</f>
        <v>175000</v>
      </c>
      <c r="BX16" s="86">
        <f>AnnuityPayment11+AnnuityPayment12+TermAnnuityPmt11+TermAnnuityPmt12+AnnuityPayment21+AnnuityPayment22+TermAnnuityPmt21+TermAnnuityPmt22+AnnuityPayment13+AnnuityPayment23</f>
        <v>8750.07</v>
      </c>
      <c r="CA16" s="102"/>
      <c r="CC16" s="86"/>
      <c r="CE16" s="102"/>
      <c r="CI16" s="142"/>
      <c r="CJ16" s="63"/>
      <c r="CP16" s="54"/>
      <c r="CQ16" s="54"/>
      <c r="CX16" s="63"/>
      <c r="DM16" s="54"/>
      <c r="DO16" s="86"/>
      <c r="DP16" s="86"/>
      <c r="ED16" s="54"/>
      <c r="EF16" s="86"/>
      <c r="EG16" s="86"/>
      <c r="EQ16" s="54"/>
      <c r="ER16" s="86"/>
      <c r="FE16" s="54"/>
      <c r="FF16" s="63"/>
      <c r="FG16" s="63"/>
      <c r="FH16" s="63"/>
      <c r="FI16" s="63"/>
      <c r="FM16" s="45"/>
      <c r="FT16" s="86"/>
      <c r="FU16" s="63"/>
      <c r="FX16" s="54"/>
      <c r="GA16" s="86"/>
      <c r="GB16" s="86"/>
      <c r="GI16" s="45"/>
      <c r="GL16" s="54"/>
      <c r="GR16" s="86"/>
      <c r="GS16" s="86"/>
      <c r="HA16" s="63"/>
      <c r="HD16" s="54"/>
      <c r="HI16" s="86"/>
      <c r="HR16" s="63"/>
      <c r="HU16" s="54"/>
      <c r="HZ16" s="86"/>
      <c r="IA16" s="86"/>
      <c r="II16" s="54"/>
      <c r="IK16" s="86"/>
    </row>
    <row r="17" spans="1:265" ht="16.5" thickBot="1">
      <c r="A17" s="177" t="s">
        <v>212</v>
      </c>
      <c r="B17" s="178">
        <v>0</v>
      </c>
      <c r="C17" s="152">
        <v>2.5000000000000001E-2</v>
      </c>
      <c r="D17" s="152" t="s">
        <v>234</v>
      </c>
      <c r="E17" s="102" t="s">
        <v>216</v>
      </c>
      <c r="F17" s="102"/>
      <c r="G17" s="102"/>
      <c r="H17" s="134"/>
      <c r="I17" s="134"/>
      <c r="J17" s="102"/>
      <c r="K17" s="268"/>
      <c r="L17" s="268"/>
      <c r="M17" s="102"/>
      <c r="N17" s="102"/>
      <c r="O17" s="37"/>
      <c r="P17" s="37"/>
      <c r="Q17" s="37"/>
      <c r="R17" s="102"/>
      <c r="S17" s="86"/>
      <c r="AI17" s="403"/>
      <c r="AP17" s="118"/>
      <c r="AQ17" s="118"/>
      <c r="AR17" s="300"/>
      <c r="AT17" s="300"/>
      <c r="AU17" s="300"/>
      <c r="AZ17" s="45"/>
      <c r="BA17" s="45"/>
      <c r="BB17" s="45"/>
      <c r="BC17" s="45"/>
      <c r="BD17" s="45"/>
      <c r="BE17" s="45"/>
      <c r="BF17" s="45"/>
      <c r="BH17" s="86"/>
      <c r="BI17" s="99"/>
      <c r="BJ17" s="99"/>
      <c r="BK17" s="145"/>
      <c r="BL17" s="145"/>
      <c r="BM17" s="145"/>
      <c r="BN17" s="145"/>
      <c r="CA17" s="102"/>
      <c r="CC17" s="86"/>
      <c r="CE17" s="102"/>
      <c r="CI17" s="142"/>
      <c r="CJ17" s="63"/>
      <c r="CP17" s="168" t="s">
        <v>54</v>
      </c>
      <c r="CQ17" s="412">
        <v>0</v>
      </c>
      <c r="CX17" s="63"/>
      <c r="DG17" s="168" t="s">
        <v>54</v>
      </c>
      <c r="DH17" s="410">
        <v>0</v>
      </c>
      <c r="DM17" s="54"/>
      <c r="DO17" s="86"/>
      <c r="DP17" s="86"/>
      <c r="DX17" s="168" t="s">
        <v>54</v>
      </c>
      <c r="DY17" s="410">
        <v>0</v>
      </c>
      <c r="ED17" s="54"/>
      <c r="EF17" s="86"/>
      <c r="EG17" s="86"/>
      <c r="EQ17" s="54"/>
      <c r="ER17" s="86"/>
      <c r="FE17" s="54"/>
      <c r="FF17" s="63"/>
      <c r="FG17" s="63"/>
      <c r="FH17" s="63"/>
      <c r="FI17" s="63"/>
      <c r="FM17" s="45"/>
      <c r="FT17" s="86"/>
      <c r="FU17" s="63"/>
      <c r="FX17" s="54"/>
      <c r="GA17" s="86"/>
      <c r="GB17" s="168" t="s">
        <v>54</v>
      </c>
      <c r="GC17" s="410">
        <v>0</v>
      </c>
      <c r="GI17" s="45"/>
      <c r="GL17" s="54"/>
      <c r="GR17" s="86"/>
      <c r="GS17" s="168" t="s">
        <v>54</v>
      </c>
      <c r="GT17" s="169">
        <v>0</v>
      </c>
      <c r="HA17" s="63"/>
      <c r="HD17" s="54"/>
      <c r="HI17" s="86"/>
      <c r="HJ17" s="168" t="s">
        <v>54</v>
      </c>
      <c r="HK17" s="169">
        <v>0</v>
      </c>
      <c r="HL17" s="421"/>
      <c r="HM17" s="421"/>
      <c r="HN17" s="421"/>
      <c r="HO17" s="421"/>
      <c r="HR17" s="63"/>
      <c r="HU17" s="54"/>
      <c r="HZ17" s="86"/>
      <c r="IA17" s="86"/>
      <c r="II17" s="54"/>
      <c r="IK17" s="86"/>
    </row>
    <row r="18" spans="1:265" ht="16.5" thickBot="1">
      <c r="A18" s="177" t="s">
        <v>213</v>
      </c>
      <c r="B18" s="179">
        <v>0</v>
      </c>
      <c r="C18" s="152">
        <v>2.5000000000000001E-2</v>
      </c>
      <c r="D18" s="1043">
        <v>0</v>
      </c>
      <c r="E18" s="1044">
        <v>2.5000000000000001E-2</v>
      </c>
      <c r="F18" s="86"/>
      <c r="G18" s="86" t="s">
        <v>57</v>
      </c>
      <c r="H18" s="86"/>
      <c r="I18" s="86"/>
      <c r="J18" s="86"/>
      <c r="K18" s="268"/>
      <c r="S18" s="86"/>
      <c r="T18" s="118"/>
      <c r="AG18" s="118" t="s">
        <v>477</v>
      </c>
      <c r="AH18" s="118" t="s">
        <v>478</v>
      </c>
      <c r="AI18" s="403"/>
      <c r="AR18" s="300"/>
      <c r="AT18" s="300"/>
      <c r="AU18" s="300"/>
      <c r="AZ18" s="45"/>
      <c r="BA18" s="146"/>
      <c r="BB18" s="146"/>
      <c r="BC18" s="146"/>
      <c r="BD18" s="45"/>
      <c r="BE18" s="45"/>
      <c r="BF18" s="45"/>
      <c r="BH18" s="86"/>
      <c r="BI18" s="99"/>
      <c r="BJ18" s="99"/>
      <c r="BK18" s="145"/>
      <c r="BL18" s="145"/>
      <c r="BM18" s="145"/>
      <c r="BN18" s="145"/>
      <c r="CA18" s="142"/>
      <c r="CB18" s="142"/>
      <c r="CC18" s="86"/>
      <c r="CE18" s="102"/>
      <c r="CH18" s="142"/>
      <c r="CI18" s="142"/>
      <c r="CJ18" s="86"/>
      <c r="CN18" s="63"/>
      <c r="CP18" s="170" t="s">
        <v>206</v>
      </c>
      <c r="CQ18" s="409">
        <v>0.75</v>
      </c>
      <c r="CY18" s="54"/>
      <c r="CZ18" s="54"/>
      <c r="DA18" s="54"/>
      <c r="DB18" s="54"/>
      <c r="DC18" s="54"/>
      <c r="DD18" s="54"/>
      <c r="DE18" s="54"/>
      <c r="DF18" s="54"/>
      <c r="DG18" s="170" t="s">
        <v>494</v>
      </c>
      <c r="DH18" s="409">
        <v>0</v>
      </c>
      <c r="DM18" s="54"/>
      <c r="DO18" s="63"/>
      <c r="DP18" s="86"/>
      <c r="DS18" s="54"/>
      <c r="DT18" s="54"/>
      <c r="DU18" s="54"/>
      <c r="DV18" s="54"/>
      <c r="DW18" s="54"/>
      <c r="DX18" s="170" t="s">
        <v>496</v>
      </c>
      <c r="DY18" s="409">
        <v>0</v>
      </c>
      <c r="ED18" s="54"/>
      <c r="EF18" s="63"/>
      <c r="EG18" s="86"/>
      <c r="EJ18" s="54"/>
      <c r="EK18" s="54"/>
      <c r="EL18" s="54"/>
      <c r="EM18" s="54"/>
      <c r="EO18" s="168" t="s">
        <v>54</v>
      </c>
      <c r="EP18" s="169">
        <v>0</v>
      </c>
      <c r="EQ18" s="86"/>
      <c r="ER18" s="86"/>
      <c r="EZ18" s="54"/>
      <c r="FA18" s="54"/>
      <c r="FB18" s="54"/>
      <c r="FC18" s="54"/>
      <c r="FE18" s="168" t="s">
        <v>54</v>
      </c>
      <c r="FF18" s="169">
        <v>0</v>
      </c>
      <c r="FG18" s="86"/>
      <c r="FP18" s="54"/>
      <c r="FQ18" s="54"/>
      <c r="FR18" s="54"/>
      <c r="FS18" s="54"/>
      <c r="FT18" s="86"/>
      <c r="FX18" s="86"/>
      <c r="FY18" s="86"/>
      <c r="FZ18" s="86"/>
      <c r="GA18" s="86"/>
      <c r="GB18" s="170" t="s">
        <v>206</v>
      </c>
      <c r="GC18" s="409">
        <v>0.75</v>
      </c>
      <c r="GL18" s="86"/>
      <c r="GM18" s="86"/>
      <c r="GN18" s="54"/>
      <c r="GO18" s="54"/>
      <c r="GP18" s="54"/>
      <c r="GQ18" s="54"/>
      <c r="GR18" s="86"/>
      <c r="GS18" s="170" t="s">
        <v>206</v>
      </c>
      <c r="GT18" s="339">
        <v>0</v>
      </c>
      <c r="HD18" s="86"/>
      <c r="HE18" s="54"/>
      <c r="HF18" s="54"/>
      <c r="HG18" s="54"/>
      <c r="HH18" s="54"/>
      <c r="HI18" s="86"/>
      <c r="HJ18" s="170" t="s">
        <v>206</v>
      </c>
      <c r="HK18" s="409">
        <v>0</v>
      </c>
      <c r="HL18" s="418"/>
      <c r="HM18" s="418"/>
      <c r="HN18" s="418"/>
      <c r="HO18" s="418"/>
      <c r="HU18" s="86"/>
      <c r="HV18" s="54"/>
      <c r="HW18" s="54"/>
      <c r="HX18" s="54"/>
      <c r="HY18" s="54"/>
      <c r="HZ18" s="86"/>
      <c r="IA18" s="168" t="s">
        <v>54</v>
      </c>
      <c r="IB18" s="169">
        <v>0</v>
      </c>
      <c r="IK18" s="86"/>
      <c r="IL18" s="54"/>
      <c r="IM18" s="54"/>
      <c r="IN18" s="54"/>
      <c r="IO18" s="54"/>
      <c r="IQ18" s="168" t="s">
        <v>54</v>
      </c>
      <c r="IR18" s="169">
        <v>0</v>
      </c>
      <c r="JB18" s="54"/>
      <c r="JC18" s="54"/>
      <c r="JD18" s="54"/>
      <c r="JE18" s="54"/>
    </row>
    <row r="19" spans="1:265">
      <c r="A19" s="1035" t="s">
        <v>1163</v>
      </c>
      <c r="B19" s="1036">
        <v>500000</v>
      </c>
      <c r="C19" s="1042">
        <v>0</v>
      </c>
      <c r="D19" s="1037">
        <v>0.03</v>
      </c>
      <c r="E19" s="102" t="s">
        <v>216</v>
      </c>
      <c r="H19" s="53"/>
      <c r="I19" s="53"/>
      <c r="J19" s="53"/>
      <c r="K19" s="268"/>
      <c r="S19" s="86"/>
      <c r="AF19" s="34" t="s">
        <v>475</v>
      </c>
      <c r="AG19" s="403">
        <v>27821.65</v>
      </c>
      <c r="AH19" s="403">
        <v>27821.65</v>
      </c>
      <c r="AK19" s="34"/>
      <c r="AP19" s="145"/>
      <c r="AR19" s="300"/>
      <c r="AS19" s="300"/>
      <c r="AT19" s="86"/>
      <c r="AU19" s="45"/>
      <c r="AV19" s="162"/>
      <c r="AW19" s="162"/>
      <c r="AX19" s="162"/>
      <c r="AY19" s="146"/>
      <c r="AZ19" s="146"/>
      <c r="BA19" s="146"/>
      <c r="BB19" s="45"/>
      <c r="BC19" s="45"/>
      <c r="BD19" s="45"/>
      <c r="BE19" s="45"/>
      <c r="BF19" s="86"/>
      <c r="BG19" s="99"/>
      <c r="BH19" s="99"/>
      <c r="BI19" s="86"/>
      <c r="BJ19" s="145"/>
      <c r="BK19" s="145"/>
      <c r="BL19" s="145"/>
      <c r="BY19" s="102"/>
      <c r="BZ19" s="102"/>
      <c r="CB19" s="86"/>
      <c r="CD19" s="102"/>
      <c r="CE19" s="102"/>
      <c r="CH19" s="86"/>
      <c r="CI19" s="86"/>
      <c r="CJ19" s="86"/>
      <c r="CL19" s="63"/>
      <c r="CM19" s="63"/>
      <c r="CN19" s="54"/>
      <c r="CO19" s="54"/>
      <c r="CP19" s="170" t="s">
        <v>493</v>
      </c>
      <c r="CQ19" s="415">
        <v>15</v>
      </c>
      <c r="CV19" s="86"/>
      <c r="CW19" s="86"/>
      <c r="CX19" s="86"/>
      <c r="DA19" s="63"/>
      <c r="DB19" s="63"/>
      <c r="DC19" s="63"/>
      <c r="DD19" s="63"/>
      <c r="DE19" s="63"/>
      <c r="DF19" s="63"/>
      <c r="DG19" s="170" t="s">
        <v>495</v>
      </c>
      <c r="DH19" s="415">
        <v>0</v>
      </c>
      <c r="DM19" s="63"/>
      <c r="DN19" s="86"/>
      <c r="DO19" s="86"/>
      <c r="DP19" s="86"/>
      <c r="DS19" s="63"/>
      <c r="DT19" s="63"/>
      <c r="DU19" s="63"/>
      <c r="DV19" s="63"/>
      <c r="DW19" s="63"/>
      <c r="DX19" s="170" t="s">
        <v>490</v>
      </c>
      <c r="DY19" s="411">
        <v>0</v>
      </c>
      <c r="ED19" s="63"/>
      <c r="EE19" s="86"/>
      <c r="EF19" s="86"/>
      <c r="EG19" s="86"/>
      <c r="EJ19" s="63"/>
      <c r="EK19" s="63"/>
      <c r="EL19" s="63"/>
      <c r="EM19" s="63"/>
      <c r="EN19" s="63"/>
      <c r="EO19" s="168" t="s">
        <v>189</v>
      </c>
      <c r="EP19" s="169"/>
      <c r="EQ19" s="86"/>
      <c r="ER19" s="86"/>
      <c r="EZ19" s="63"/>
      <c r="FA19" s="63"/>
      <c r="FB19" s="63"/>
      <c r="FC19" s="63"/>
      <c r="FE19" s="168" t="s">
        <v>189</v>
      </c>
      <c r="FF19" s="169"/>
      <c r="FG19" s="86"/>
      <c r="FO19" s="45"/>
      <c r="FP19" s="63"/>
      <c r="FQ19" s="63"/>
      <c r="FR19" s="63"/>
      <c r="FS19" s="63"/>
      <c r="FT19" s="86"/>
      <c r="FW19" s="63"/>
      <c r="FX19" s="86"/>
      <c r="FY19" s="86"/>
      <c r="FZ19" s="86"/>
      <c r="GB19" s="170" t="s">
        <v>493</v>
      </c>
      <c r="GC19" s="339">
        <v>15</v>
      </c>
      <c r="GL19" s="86"/>
      <c r="GM19" s="45"/>
      <c r="GN19" s="63"/>
      <c r="GO19" s="63"/>
      <c r="GP19" s="63"/>
      <c r="GQ19" s="63"/>
      <c r="GR19" s="86"/>
      <c r="GS19" s="170" t="s">
        <v>490</v>
      </c>
      <c r="GT19" s="339">
        <v>0</v>
      </c>
      <c r="HD19" s="86"/>
      <c r="HE19" s="63"/>
      <c r="HF19" s="63"/>
      <c r="HG19" s="63"/>
      <c r="HH19" s="63"/>
      <c r="HI19" s="86"/>
      <c r="HJ19" s="170" t="s">
        <v>490</v>
      </c>
      <c r="HK19" s="415">
        <v>0</v>
      </c>
      <c r="HL19" s="423"/>
      <c r="HM19" s="423"/>
      <c r="HN19" s="423"/>
      <c r="HO19" s="423"/>
      <c r="HU19" s="86"/>
      <c r="HV19" s="63"/>
      <c r="HW19" s="63"/>
      <c r="HX19" s="63"/>
      <c r="HY19" s="63"/>
      <c r="IA19" s="168" t="s">
        <v>189</v>
      </c>
      <c r="IB19" s="169"/>
      <c r="IK19" s="86"/>
      <c r="IL19" s="63"/>
      <c r="IM19" s="63"/>
      <c r="IN19" s="63"/>
      <c r="IO19" s="63"/>
      <c r="IQ19" s="168" t="s">
        <v>189</v>
      </c>
      <c r="IR19" s="169"/>
      <c r="JB19" s="63"/>
      <c r="JC19" s="63"/>
      <c r="JD19" s="63"/>
      <c r="JE19" s="63"/>
    </row>
    <row r="20" spans="1:265">
      <c r="A20" s="180" t="s">
        <v>80</v>
      </c>
      <c r="B20" s="181">
        <v>0</v>
      </c>
      <c r="C20" s="152">
        <v>2.5000000000000001E-2</v>
      </c>
      <c r="D20" s="152" t="s">
        <v>216</v>
      </c>
      <c r="E20" s="102" t="s">
        <v>216</v>
      </c>
      <c r="F20" s="86"/>
      <c r="H20" s="53"/>
      <c r="I20" s="53"/>
      <c r="J20" s="53"/>
      <c r="K20" s="268"/>
      <c r="S20" s="86"/>
      <c r="AF20" s="34" t="s">
        <v>474</v>
      </c>
      <c r="AG20" s="403">
        <v>12210.900000000001</v>
      </c>
      <c r="AH20" s="403">
        <v>0</v>
      </c>
      <c r="AK20" s="34"/>
      <c r="AR20" s="300"/>
      <c r="AS20" s="301"/>
      <c r="AT20" s="86"/>
      <c r="AU20" s="45"/>
      <c r="AV20" s="162"/>
      <c r="AW20" s="162"/>
      <c r="AX20" s="162"/>
      <c r="AY20" s="154"/>
      <c r="AZ20" s="154"/>
      <c r="BA20" s="154"/>
      <c r="BC20" s="45"/>
      <c r="BD20" s="45"/>
      <c r="BE20" s="45"/>
      <c r="BF20" s="86"/>
      <c r="BG20" s="99"/>
      <c r="BH20" s="99"/>
      <c r="BI20" s="86"/>
      <c r="BJ20" s="145"/>
      <c r="BK20" s="145"/>
      <c r="BL20" s="145"/>
      <c r="BY20" s="102"/>
      <c r="BZ20" s="102"/>
      <c r="CB20" s="86"/>
      <c r="CD20" s="102"/>
      <c r="CE20" s="102"/>
      <c r="CH20" s="86"/>
      <c r="CI20" s="86"/>
      <c r="CJ20" s="86"/>
      <c r="CM20" s="63"/>
      <c r="CN20" s="54"/>
      <c r="CO20" s="54"/>
      <c r="CP20" s="172" t="s">
        <v>201</v>
      </c>
      <c r="CQ20" s="414">
        <v>5000.04</v>
      </c>
      <c r="CV20" s="86"/>
      <c r="CW20" s="86"/>
      <c r="CX20" s="86"/>
      <c r="DG20" s="172" t="s">
        <v>201</v>
      </c>
      <c r="DH20" s="187">
        <v>0</v>
      </c>
      <c r="DM20" s="63"/>
      <c r="DN20" s="86"/>
      <c r="DO20" s="86"/>
      <c r="DP20" s="86"/>
      <c r="DX20" s="172" t="s">
        <v>201</v>
      </c>
      <c r="DY20" s="414">
        <v>0</v>
      </c>
      <c r="ED20" s="63"/>
      <c r="EE20" s="86"/>
      <c r="EF20" s="86"/>
      <c r="EG20" s="86"/>
      <c r="EO20" s="172" t="s">
        <v>201</v>
      </c>
      <c r="EP20" s="188">
        <v>0</v>
      </c>
      <c r="EQ20" s="86"/>
      <c r="ER20" s="86"/>
      <c r="FE20" s="172" t="s">
        <v>201</v>
      </c>
      <c r="FF20" s="188">
        <v>0</v>
      </c>
      <c r="FG20" s="86"/>
      <c r="FY20" s="63"/>
      <c r="FZ20" s="63"/>
      <c r="GB20" s="172" t="s">
        <v>201</v>
      </c>
      <c r="GC20" s="187">
        <v>3750.03</v>
      </c>
      <c r="GL20" s="86"/>
      <c r="GM20" s="86"/>
      <c r="GR20" s="45"/>
      <c r="GS20" s="172" t="s">
        <v>201</v>
      </c>
      <c r="GT20" s="187">
        <v>0</v>
      </c>
      <c r="HD20" s="86"/>
      <c r="HI20" s="45"/>
      <c r="HJ20" s="172" t="s">
        <v>201</v>
      </c>
      <c r="HK20" s="414">
        <v>0</v>
      </c>
      <c r="HL20" s="419"/>
      <c r="HM20" s="419"/>
      <c r="HN20" s="419"/>
      <c r="HO20" s="419"/>
      <c r="HU20" s="86"/>
      <c r="HZ20" s="86"/>
      <c r="IA20" s="172" t="s">
        <v>201</v>
      </c>
      <c r="IB20" s="187">
        <v>0</v>
      </c>
      <c r="IK20" s="86"/>
      <c r="IQ20" s="172" t="s">
        <v>201</v>
      </c>
      <c r="IR20" s="187">
        <v>0</v>
      </c>
    </row>
    <row r="21" spans="1:265">
      <c r="A21" s="86" t="s">
        <v>28</v>
      </c>
      <c r="B21" s="179">
        <v>500000</v>
      </c>
      <c r="E21" s="102"/>
      <c r="F21" s="86"/>
      <c r="H21" s="53"/>
      <c r="I21" s="53"/>
      <c r="J21" s="53"/>
      <c r="K21" s="268"/>
      <c r="S21" s="86"/>
      <c r="AF21" s="34" t="s">
        <v>476</v>
      </c>
      <c r="AG21" s="403">
        <v>12210.900000000001</v>
      </c>
      <c r="AH21" s="403">
        <v>0</v>
      </c>
      <c r="AR21" s="300"/>
      <c r="AS21" s="301"/>
      <c r="AT21" s="86"/>
      <c r="AU21" s="46"/>
      <c r="AV21" s="162"/>
      <c r="AW21" s="162"/>
      <c r="AX21" s="162"/>
      <c r="AY21" s="154"/>
      <c r="AZ21" s="154"/>
      <c r="BA21" s="154"/>
      <c r="BC21" s="45"/>
      <c r="BD21" s="45"/>
      <c r="BE21" s="45"/>
      <c r="BF21" s="86"/>
      <c r="BG21" s="99"/>
      <c r="BH21" s="99"/>
      <c r="BI21" s="86"/>
      <c r="BJ21" s="145"/>
      <c r="BK21" s="145"/>
      <c r="BL21" s="145"/>
      <c r="BY21" s="102"/>
      <c r="BZ21" s="102"/>
      <c r="CB21" s="86"/>
      <c r="CD21" s="102"/>
      <c r="CE21" s="102"/>
      <c r="CH21" s="86"/>
      <c r="CI21" s="86"/>
      <c r="CJ21" s="86"/>
      <c r="CM21" s="63"/>
      <c r="CN21" s="54"/>
      <c r="CO21" s="54"/>
      <c r="CP21" s="172" t="s">
        <v>202</v>
      </c>
      <c r="CQ21" s="416">
        <v>0</v>
      </c>
      <c r="CV21" s="86"/>
      <c r="CW21" s="86"/>
      <c r="CX21" s="86"/>
      <c r="DG21" s="172" t="s">
        <v>202</v>
      </c>
      <c r="DH21" s="174"/>
      <c r="DM21" s="63"/>
      <c r="DN21" s="86"/>
      <c r="DO21" s="86"/>
      <c r="DP21" s="86"/>
      <c r="DX21" s="172" t="s">
        <v>202</v>
      </c>
      <c r="DY21" s="417"/>
      <c r="ED21" s="63"/>
      <c r="EE21" s="86"/>
      <c r="EF21" s="86"/>
      <c r="EG21" s="86"/>
      <c r="EO21" s="172" t="s">
        <v>202</v>
      </c>
      <c r="EP21" s="184">
        <v>0</v>
      </c>
      <c r="EQ21" s="86"/>
      <c r="ER21" s="86"/>
      <c r="FE21" s="172" t="s">
        <v>202</v>
      </c>
      <c r="FF21" s="184">
        <v>0</v>
      </c>
      <c r="FG21" s="86"/>
      <c r="FY21" s="63"/>
      <c r="FZ21" s="63"/>
      <c r="GB21" s="172" t="s">
        <v>202</v>
      </c>
      <c r="GC21" s="416">
        <v>0</v>
      </c>
      <c r="GL21" s="86"/>
      <c r="GM21" s="86"/>
      <c r="GR21" s="45"/>
      <c r="GS21" s="172" t="s">
        <v>202</v>
      </c>
      <c r="GT21" s="174"/>
      <c r="HD21" s="86"/>
      <c r="HI21" s="45"/>
      <c r="HJ21" s="172" t="s">
        <v>202</v>
      </c>
      <c r="HK21" s="174"/>
      <c r="HL21" s="420"/>
      <c r="HM21" s="420"/>
      <c r="HN21" s="420"/>
      <c r="HO21" s="420"/>
      <c r="HU21" s="86"/>
      <c r="HZ21" s="86"/>
      <c r="IA21" s="172" t="s">
        <v>202</v>
      </c>
      <c r="IB21" s="173">
        <v>0</v>
      </c>
      <c r="IK21" s="86"/>
      <c r="IQ21" s="172" t="s">
        <v>202</v>
      </c>
      <c r="IR21" s="173">
        <v>0</v>
      </c>
    </row>
    <row r="22" spans="1:265">
      <c r="A22" s="86" t="s">
        <v>229</v>
      </c>
      <c r="B22" s="44">
        <v>70000</v>
      </c>
      <c r="D22" s="152" t="s">
        <v>306</v>
      </c>
      <c r="E22" s="152">
        <v>2.75E-2</v>
      </c>
      <c r="F22" s="86"/>
      <c r="H22" s="86"/>
      <c r="I22" s="86"/>
      <c r="J22" s="86"/>
      <c r="K22" s="268"/>
      <c r="S22" s="86"/>
      <c r="AE22" s="145"/>
      <c r="AF22" s="34" t="s">
        <v>479</v>
      </c>
      <c r="AG22" s="300">
        <v>13000</v>
      </c>
      <c r="AH22" s="300">
        <v>13000</v>
      </c>
      <c r="AR22" s="300"/>
      <c r="AS22" s="301"/>
      <c r="AT22" s="86"/>
      <c r="AU22" s="46"/>
      <c r="AV22" s="162"/>
      <c r="AW22" s="162"/>
      <c r="AX22" s="162"/>
      <c r="AY22" s="154"/>
      <c r="AZ22" s="154"/>
      <c r="BA22" s="154"/>
      <c r="BC22" s="45"/>
      <c r="BD22" s="45"/>
      <c r="BE22" s="45"/>
      <c r="BF22" s="86"/>
      <c r="BG22" s="99"/>
      <c r="BH22" s="99"/>
      <c r="BI22" s="86"/>
      <c r="BJ22" s="145"/>
      <c r="BK22" s="145"/>
      <c r="BL22" s="145"/>
      <c r="BY22" s="102"/>
      <c r="BZ22" s="102"/>
      <c r="CB22" s="86"/>
      <c r="CD22" s="102"/>
      <c r="CE22" s="102"/>
      <c r="CH22" s="86"/>
      <c r="CI22" s="86"/>
      <c r="CJ22" s="86"/>
      <c r="CM22" s="63"/>
      <c r="CN22" s="54"/>
      <c r="CO22" s="54"/>
      <c r="CP22" s="172" t="s">
        <v>232</v>
      </c>
      <c r="CQ22" s="174">
        <v>18.41</v>
      </c>
      <c r="CR22" s="86">
        <f>AnnuityRN11/2</f>
        <v>9.2050000000000001</v>
      </c>
      <c r="CV22" s="86"/>
      <c r="CW22" s="86"/>
      <c r="CX22" s="86"/>
      <c r="DG22" s="172" t="s">
        <v>232</v>
      </c>
      <c r="DH22" s="174">
        <v>0</v>
      </c>
      <c r="DM22" s="63"/>
      <c r="DN22" s="86"/>
      <c r="DO22" s="86"/>
      <c r="DP22" s="86"/>
      <c r="DX22" s="172" t="s">
        <v>232</v>
      </c>
      <c r="DY22" s="174">
        <v>0</v>
      </c>
      <c r="ED22" s="63"/>
      <c r="EE22" s="86"/>
      <c r="EF22" s="86"/>
      <c r="EG22" s="86"/>
      <c r="EO22" s="172" t="s">
        <v>232</v>
      </c>
      <c r="EP22" s="184"/>
      <c r="EQ22" s="86"/>
      <c r="ER22" s="86"/>
      <c r="FE22" s="172" t="s">
        <v>232</v>
      </c>
      <c r="FF22" s="184"/>
      <c r="FG22" s="86"/>
      <c r="FY22" s="63"/>
      <c r="FZ22" s="63"/>
      <c r="GB22" s="172" t="s">
        <v>232</v>
      </c>
      <c r="GC22" s="174">
        <v>18.41</v>
      </c>
      <c r="GL22" s="86"/>
      <c r="GM22" s="86"/>
      <c r="GR22" s="45"/>
      <c r="GS22" s="172" t="s">
        <v>232</v>
      </c>
      <c r="GT22" s="174">
        <v>0</v>
      </c>
      <c r="HD22" s="86"/>
      <c r="HI22" s="45"/>
      <c r="HJ22" s="172" t="s">
        <v>232</v>
      </c>
      <c r="HK22" s="174">
        <v>0</v>
      </c>
      <c r="HL22" s="420"/>
      <c r="HM22" s="420"/>
      <c r="HN22" s="420"/>
      <c r="HO22" s="420"/>
      <c r="HU22" s="86"/>
      <c r="HZ22" s="86"/>
      <c r="IA22" s="172" t="s">
        <v>232</v>
      </c>
      <c r="IB22" s="173"/>
      <c r="IK22" s="86"/>
      <c r="IQ22" s="172" t="s">
        <v>232</v>
      </c>
      <c r="IR22" s="173"/>
    </row>
    <row r="23" spans="1:265" ht="19.5" customHeight="1">
      <c r="A23" s="202" t="s">
        <v>356</v>
      </c>
      <c r="B23" s="86" t="s">
        <v>507</v>
      </c>
      <c r="F23" s="86"/>
      <c r="G23" s="86"/>
      <c r="H23" s="86"/>
      <c r="I23" s="86"/>
      <c r="J23" s="86"/>
      <c r="K23" s="268"/>
      <c r="S23" s="86"/>
      <c r="AR23" s="300"/>
      <c r="AS23" s="302"/>
      <c r="AT23" s="86"/>
      <c r="AU23" s="46"/>
      <c r="AV23" s="162"/>
      <c r="AW23" s="154"/>
      <c r="AX23" s="154"/>
      <c r="AY23" s="154"/>
      <c r="AZ23" s="154"/>
      <c r="BA23" s="154"/>
      <c r="BB23" s="182"/>
      <c r="BC23" s="45"/>
      <c r="BD23" s="45"/>
      <c r="BE23" s="45"/>
      <c r="BF23" s="86"/>
      <c r="BG23" s="99"/>
      <c r="BH23" s="99"/>
      <c r="BI23" s="253"/>
      <c r="BJ23" s="145"/>
      <c r="BK23" s="145"/>
      <c r="BL23" s="145"/>
      <c r="BY23" s="102"/>
      <c r="BZ23" s="102"/>
      <c r="CB23" s="86"/>
      <c r="CD23" s="102"/>
      <c r="CE23" s="102"/>
      <c r="CH23" s="86"/>
      <c r="CI23" s="86"/>
      <c r="CJ23" s="86"/>
      <c r="CM23" s="63"/>
      <c r="CN23" s="54"/>
      <c r="CO23" s="54"/>
      <c r="CP23" s="170" t="s">
        <v>207</v>
      </c>
      <c r="CQ23" s="171">
        <v>1.1933334022760391E-2</v>
      </c>
      <c r="CV23" s="86"/>
      <c r="CW23" s="86"/>
      <c r="CX23" s="86"/>
      <c r="DG23" s="170" t="s">
        <v>207</v>
      </c>
      <c r="DH23" s="171">
        <v>0</v>
      </c>
      <c r="DM23" s="63"/>
      <c r="DN23" s="86"/>
      <c r="DO23" s="86"/>
      <c r="DP23" s="86"/>
      <c r="DX23" s="170" t="s">
        <v>207</v>
      </c>
      <c r="DY23" s="171">
        <v>0</v>
      </c>
      <c r="ED23" s="63"/>
      <c r="EE23" s="86"/>
      <c r="EF23" s="86"/>
      <c r="EG23" s="86"/>
      <c r="EO23" s="172" t="s">
        <v>499</v>
      </c>
      <c r="EP23" s="174"/>
      <c r="EQ23" s="86" t="s">
        <v>500</v>
      </c>
      <c r="ER23" s="86"/>
      <c r="FE23" s="172" t="s">
        <v>497</v>
      </c>
      <c r="FF23" s="174"/>
      <c r="FG23" s="86" t="s">
        <v>498</v>
      </c>
      <c r="FY23" s="63"/>
      <c r="FZ23" s="63"/>
      <c r="GB23" s="170" t="s">
        <v>207</v>
      </c>
      <c r="GC23" s="171">
        <v>1.1933334022760391E-2</v>
      </c>
      <c r="GL23" s="86"/>
      <c r="GM23" s="86"/>
      <c r="GR23" s="45"/>
      <c r="GS23" s="170" t="s">
        <v>207</v>
      </c>
      <c r="GT23" s="171">
        <v>0</v>
      </c>
      <c r="HD23" s="86"/>
      <c r="HI23" s="45"/>
      <c r="HJ23" s="170" t="s">
        <v>207</v>
      </c>
      <c r="HK23" s="171">
        <v>0</v>
      </c>
      <c r="HL23" s="421"/>
      <c r="HM23" s="421"/>
      <c r="HN23" s="421"/>
      <c r="HO23" s="421"/>
      <c r="HU23" s="86"/>
      <c r="HZ23" s="86"/>
      <c r="IA23" s="172" t="s">
        <v>497</v>
      </c>
      <c r="IB23" s="173"/>
      <c r="IC23" s="86" t="s">
        <v>498</v>
      </c>
      <c r="IK23" s="86"/>
      <c r="IQ23" s="172" t="s">
        <v>497</v>
      </c>
      <c r="IR23" s="173"/>
      <c r="IS23" s="86" t="s">
        <v>498</v>
      </c>
    </row>
    <row r="24" spans="1:265" ht="16.5" customHeight="1">
      <c r="A24" s="202" t="s">
        <v>456</v>
      </c>
      <c r="B24" s="44">
        <v>43941.568082191778</v>
      </c>
      <c r="F24" s="86"/>
      <c r="G24" s="86"/>
      <c r="H24" s="86"/>
      <c r="I24" s="86"/>
      <c r="J24" s="86"/>
      <c r="K24" s="268"/>
      <c r="S24" s="86"/>
      <c r="AR24" s="300"/>
      <c r="AS24" s="301"/>
      <c r="AT24" s="86"/>
      <c r="AU24" s="46"/>
      <c r="AV24" s="162"/>
      <c r="AW24" s="162"/>
      <c r="AX24" s="162"/>
      <c r="AY24" s="154"/>
      <c r="AZ24" s="154"/>
      <c r="BA24" s="154"/>
      <c r="BC24" s="45"/>
      <c r="BD24" s="45"/>
      <c r="BE24" s="45"/>
      <c r="BF24" s="138"/>
      <c r="BG24" s="99"/>
      <c r="BH24" s="99"/>
      <c r="BI24" s="86"/>
      <c r="BJ24" s="145"/>
      <c r="BK24" s="145"/>
      <c r="BL24" s="145"/>
      <c r="BY24" s="102"/>
      <c r="BZ24" s="102"/>
      <c r="CB24" s="86"/>
      <c r="CD24" s="102"/>
      <c r="CE24" s="102"/>
      <c r="CH24" s="86"/>
      <c r="CI24" s="86"/>
      <c r="CJ24" s="86"/>
      <c r="CM24" s="63"/>
      <c r="CN24" s="54"/>
      <c r="CO24" s="54"/>
      <c r="CP24" s="170" t="s">
        <v>501</v>
      </c>
      <c r="CQ24" s="413">
        <v>100000</v>
      </c>
      <c r="CR24" s="63" t="s">
        <v>498</v>
      </c>
      <c r="CV24" s="86"/>
      <c r="CW24" s="86"/>
      <c r="CX24" s="86"/>
      <c r="DG24" s="170" t="s">
        <v>499</v>
      </c>
      <c r="DH24" s="237">
        <v>0</v>
      </c>
      <c r="DI24" s="63" t="s">
        <v>498</v>
      </c>
      <c r="DM24" s="63"/>
      <c r="DN24" s="86"/>
      <c r="DO24" s="86"/>
      <c r="DP24" s="86"/>
      <c r="DX24" s="170" t="s">
        <v>501</v>
      </c>
      <c r="DY24" s="413">
        <v>0</v>
      </c>
      <c r="DZ24" s="63" t="s">
        <v>498</v>
      </c>
      <c r="EE24" s="86"/>
      <c r="EF24" s="86"/>
      <c r="EG24" s="86"/>
      <c r="EO24" s="395" t="s">
        <v>210</v>
      </c>
      <c r="EP24" s="396"/>
      <c r="EQ24" s="86"/>
      <c r="ER24" s="86"/>
      <c r="EW24" s="87"/>
      <c r="EX24" s="87"/>
      <c r="EY24" s="87"/>
      <c r="FE24" s="395" t="s">
        <v>210</v>
      </c>
      <c r="FF24" s="396"/>
      <c r="FG24" s="86"/>
      <c r="FY24" s="63"/>
      <c r="FZ24" s="63"/>
      <c r="GB24" s="170" t="s">
        <v>497</v>
      </c>
      <c r="GC24" s="236">
        <v>75000</v>
      </c>
      <c r="GD24" s="63" t="s">
        <v>498</v>
      </c>
      <c r="GL24" s="86"/>
      <c r="GM24" s="86"/>
      <c r="GR24" s="45"/>
      <c r="GS24" s="393" t="s">
        <v>457</v>
      </c>
      <c r="GT24" s="171">
        <v>0</v>
      </c>
      <c r="GU24" s="63" t="s">
        <v>498</v>
      </c>
      <c r="HD24" s="86"/>
      <c r="HI24" s="45"/>
      <c r="HJ24" s="393" t="s">
        <v>457</v>
      </c>
      <c r="HK24" s="413">
        <v>0</v>
      </c>
      <c r="HL24" s="422"/>
      <c r="HM24" s="422"/>
      <c r="HN24" s="422"/>
      <c r="HO24" s="422"/>
      <c r="HU24" s="86"/>
      <c r="HZ24" s="86"/>
      <c r="IA24" s="395" t="s">
        <v>210</v>
      </c>
      <c r="IB24" s="396"/>
      <c r="IK24" s="86"/>
      <c r="IQ24" s="395" t="s">
        <v>210</v>
      </c>
      <c r="IR24" s="396"/>
    </row>
    <row r="25" spans="1:265" ht="16.5" thickBot="1">
      <c r="A25" s="86" t="s">
        <v>32</v>
      </c>
      <c r="B25" s="118" t="b">
        <v>1</v>
      </c>
      <c r="F25" s="86"/>
      <c r="G25" s="86"/>
      <c r="H25" s="86"/>
      <c r="I25" s="86"/>
      <c r="J25" s="86"/>
      <c r="K25" s="268"/>
      <c r="L25" s="102"/>
      <c r="M25" s="102"/>
      <c r="N25" s="102"/>
      <c r="S25" s="86"/>
      <c r="AE25" s="145"/>
      <c r="AR25" s="300"/>
      <c r="AS25" s="300"/>
      <c r="AT25" s="86"/>
      <c r="AU25" s="46"/>
      <c r="AV25" s="162"/>
      <c r="AW25" s="162"/>
      <c r="AX25" s="162"/>
      <c r="AY25" s="154"/>
      <c r="AZ25" s="154"/>
      <c r="BA25" s="154"/>
      <c r="BB25" s="154"/>
      <c r="BC25" s="45"/>
      <c r="BD25" s="45"/>
      <c r="BE25" s="45"/>
      <c r="BF25" s="86"/>
      <c r="BG25" s="99"/>
      <c r="BH25" s="99"/>
      <c r="BI25" s="253"/>
      <c r="BJ25" s="145"/>
      <c r="BK25" s="145"/>
      <c r="BL25" s="145"/>
      <c r="BY25" s="102"/>
      <c r="BZ25" s="102"/>
      <c r="CB25" s="86"/>
      <c r="CD25" s="102"/>
      <c r="CE25" s="102"/>
      <c r="CH25" s="86"/>
      <c r="CI25" s="86"/>
      <c r="CJ25" s="86"/>
      <c r="CM25" s="63"/>
      <c r="CN25" s="54"/>
      <c r="CO25" s="54"/>
      <c r="CP25" s="175" t="s">
        <v>492</v>
      </c>
      <c r="CQ25" s="183">
        <v>3.9433334022760391E-2</v>
      </c>
      <c r="CV25" s="86"/>
      <c r="CW25" s="86"/>
      <c r="CX25" s="86"/>
      <c r="DG25" s="175" t="s">
        <v>492</v>
      </c>
      <c r="DH25" s="183">
        <v>0</v>
      </c>
      <c r="DM25" s="63"/>
      <c r="DN25" s="86"/>
      <c r="DO25" s="86"/>
      <c r="DP25" s="86"/>
      <c r="DX25" s="175" t="s">
        <v>492</v>
      </c>
      <c r="DY25" s="183">
        <v>0</v>
      </c>
      <c r="ED25" s="63"/>
      <c r="EE25" s="86"/>
      <c r="EF25" s="86"/>
      <c r="EG25" s="86"/>
      <c r="EO25" s="397" t="s">
        <v>460</v>
      </c>
      <c r="EP25" s="398"/>
      <c r="EQ25" s="86"/>
      <c r="ER25" s="86"/>
      <c r="FD25" s="54"/>
      <c r="FE25" s="397" t="s">
        <v>460</v>
      </c>
      <c r="FF25" s="398"/>
      <c r="FG25" s="86"/>
      <c r="FN25" s="45"/>
      <c r="FT25" s="86"/>
      <c r="FV25" s="63"/>
      <c r="FW25" s="54"/>
      <c r="FX25" s="54"/>
      <c r="FZ25" s="86"/>
      <c r="GA25" s="86"/>
      <c r="GB25" s="175" t="s">
        <v>492</v>
      </c>
      <c r="GC25" s="183">
        <v>3.9433334022760391E-2</v>
      </c>
      <c r="GJ25" s="45"/>
      <c r="GK25" s="54"/>
      <c r="GL25" s="54"/>
      <c r="GM25" s="86"/>
      <c r="GR25" s="86"/>
      <c r="GS25" s="235" t="s">
        <v>492</v>
      </c>
      <c r="GT25" s="183">
        <v>0</v>
      </c>
      <c r="HB25" s="63"/>
      <c r="HC25" s="54"/>
      <c r="HD25" s="86"/>
      <c r="HI25" s="86"/>
      <c r="HJ25" s="235" t="s">
        <v>492</v>
      </c>
      <c r="HK25" s="183">
        <v>0</v>
      </c>
      <c r="HL25" s="421"/>
      <c r="HM25" s="421"/>
      <c r="HN25" s="421"/>
      <c r="HO25" s="421"/>
      <c r="HS25" s="63"/>
      <c r="HT25" s="54"/>
      <c r="HU25" s="86"/>
      <c r="HZ25" s="86"/>
      <c r="IA25" s="397" t="s">
        <v>460</v>
      </c>
      <c r="IB25" s="398"/>
      <c r="IH25" s="54"/>
      <c r="IK25" s="86"/>
      <c r="IQ25" s="397" t="s">
        <v>460</v>
      </c>
      <c r="IR25" s="398"/>
    </row>
    <row r="26" spans="1:265">
      <c r="A26" s="39" t="s">
        <v>27</v>
      </c>
      <c r="B26" s="139">
        <v>42667.687395833331</v>
      </c>
      <c r="F26" s="86"/>
      <c r="G26" s="86"/>
      <c r="H26" s="86"/>
      <c r="I26" s="86"/>
      <c r="J26" s="86"/>
      <c r="P26" s="117"/>
      <c r="Q26" s="117"/>
      <c r="S26" s="86"/>
      <c r="T26" s="254"/>
      <c r="AP26" s="145"/>
      <c r="AR26" s="300"/>
      <c r="AS26" s="300"/>
      <c r="AT26" s="86"/>
      <c r="AU26" s="46"/>
      <c r="AV26" s="162"/>
      <c r="AW26" s="162"/>
      <c r="AX26" s="162"/>
      <c r="AY26" s="162"/>
      <c r="BC26" s="45"/>
      <c r="BD26" s="45"/>
      <c r="BE26" s="45"/>
      <c r="BF26" s="46"/>
      <c r="BG26" s="99"/>
      <c r="BH26" s="99"/>
      <c r="BI26" s="86"/>
      <c r="BJ26" s="54"/>
      <c r="BK26" s="74"/>
      <c r="BL26" s="86"/>
      <c r="BY26" s="102"/>
      <c r="BZ26" s="102"/>
      <c r="CB26" s="86"/>
      <c r="CD26" s="102"/>
      <c r="CE26" s="102"/>
      <c r="CH26" s="86"/>
      <c r="CI26" s="86"/>
      <c r="CJ26" s="86"/>
      <c r="CM26" s="63"/>
      <c r="CN26" s="54"/>
      <c r="CO26" s="54"/>
      <c r="CP26" s="238"/>
      <c r="CQ26" s="238"/>
      <c r="CR26" s="54"/>
      <c r="CS26" s="54"/>
      <c r="CT26" s="54"/>
      <c r="CU26" s="54"/>
      <c r="CV26" s="86"/>
      <c r="CW26" s="86"/>
      <c r="CX26" s="86"/>
      <c r="DG26" s="54"/>
      <c r="DH26" s="54"/>
      <c r="DI26" s="54"/>
      <c r="DJ26" s="54"/>
      <c r="DK26" s="54"/>
      <c r="DL26" s="54"/>
      <c r="DM26" s="63"/>
      <c r="DN26" s="86"/>
      <c r="DO26" s="86"/>
      <c r="DP26" s="86"/>
      <c r="DX26" s="54"/>
      <c r="DY26" s="54"/>
      <c r="DZ26" s="54"/>
      <c r="EA26" s="54"/>
      <c r="EB26" s="54"/>
      <c r="EC26" s="54"/>
      <c r="ED26" s="63"/>
      <c r="EE26" s="86"/>
      <c r="EF26" s="86"/>
      <c r="EG26" s="86"/>
      <c r="EN26" s="63"/>
      <c r="EO26" s="54"/>
      <c r="EQ26" s="86"/>
      <c r="ER26" s="86"/>
      <c r="EY26" s="54"/>
      <c r="FG26" s="86"/>
      <c r="FM26" s="45"/>
      <c r="FT26" s="86"/>
      <c r="FU26" s="63"/>
      <c r="FV26" s="54"/>
      <c r="FW26" s="54"/>
      <c r="FX26" s="54"/>
      <c r="FY26" s="86"/>
      <c r="FZ26" s="86"/>
      <c r="GA26" s="86"/>
      <c r="GB26" s="86"/>
      <c r="GD26" s="54"/>
      <c r="GE26" s="54"/>
      <c r="GF26" s="54"/>
      <c r="GG26" s="54"/>
      <c r="GI26" s="45"/>
      <c r="GJ26" s="54"/>
      <c r="GK26" s="54"/>
      <c r="GL26" s="86"/>
      <c r="GM26" s="86"/>
      <c r="GR26" s="86"/>
      <c r="GS26" s="86"/>
      <c r="GU26" s="54"/>
      <c r="GV26" s="54"/>
      <c r="GW26" s="54"/>
      <c r="GX26" s="54"/>
      <c r="HA26" s="63"/>
      <c r="HB26" s="54"/>
      <c r="HD26" s="86"/>
      <c r="HI26" s="86"/>
      <c r="HJ26" s="86"/>
      <c r="HR26" s="63"/>
      <c r="HS26" s="54"/>
      <c r="HU26" s="86"/>
      <c r="HZ26" s="86"/>
      <c r="IA26" s="86"/>
      <c r="IG26" s="54"/>
      <c r="IK26" s="86"/>
      <c r="IP26" s="142"/>
    </row>
    <row r="27" spans="1:265">
      <c r="C27" s="141"/>
      <c r="D27" s="141"/>
      <c r="E27" s="141"/>
      <c r="F27" s="86"/>
      <c r="G27" s="86"/>
      <c r="H27" s="86"/>
      <c r="I27" s="86"/>
      <c r="J27" s="86"/>
      <c r="L27" s="145"/>
      <c r="M27" s="145"/>
      <c r="N27" s="145"/>
      <c r="P27" s="141"/>
      <c r="Q27" s="141"/>
      <c r="R27" s="25" t="s">
        <v>30</v>
      </c>
      <c r="S27" s="119"/>
      <c r="T27" s="119"/>
      <c r="U27" s="119"/>
      <c r="V27" s="119"/>
      <c r="W27" s="119"/>
      <c r="X27" s="119" t="s">
        <v>372</v>
      </c>
      <c r="Y27" s="119"/>
      <c r="Z27" s="119"/>
      <c r="AA27" s="119"/>
      <c r="AB27" s="119"/>
      <c r="AC27" s="119"/>
      <c r="AD27" s="119"/>
      <c r="AE27" s="119"/>
      <c r="AF27" s="119"/>
      <c r="AG27" s="25" t="s">
        <v>33</v>
      </c>
      <c r="AH27" s="119"/>
      <c r="AI27" s="119"/>
      <c r="AJ27" s="25" t="s">
        <v>436</v>
      </c>
      <c r="AK27" s="119"/>
      <c r="AL27" s="119"/>
      <c r="AM27" s="119"/>
      <c r="AN27" s="119"/>
      <c r="AO27" s="119"/>
      <c r="AP27" s="25"/>
      <c r="AQ27" s="25"/>
      <c r="AS27" s="300"/>
      <c r="AT27" s="86"/>
      <c r="AU27" s="46"/>
      <c r="AV27" s="162"/>
      <c r="AW27" s="162"/>
      <c r="AX27" s="162"/>
      <c r="AY27" s="162"/>
      <c r="BC27" s="45"/>
      <c r="BD27" s="45"/>
      <c r="BE27" s="45"/>
      <c r="BF27" s="86"/>
      <c r="BG27" s="99"/>
      <c r="BH27" s="99"/>
      <c r="BI27" s="86"/>
      <c r="BJ27" s="54"/>
      <c r="BK27" s="74"/>
      <c r="BL27" s="86"/>
      <c r="BY27" s="102"/>
      <c r="BZ27" s="102"/>
      <c r="CB27" s="86"/>
      <c r="CD27" s="102"/>
      <c r="CE27" s="102"/>
      <c r="CH27" s="86"/>
      <c r="CI27" s="86"/>
      <c r="CJ27" s="86"/>
      <c r="CM27" s="63"/>
      <c r="CN27" s="54"/>
      <c r="CO27" s="232" t="s">
        <v>1307</v>
      </c>
      <c r="CP27" s="102"/>
      <c r="CQ27" s="86" t="s">
        <v>1308</v>
      </c>
      <c r="CV27" s="86"/>
      <c r="CW27" s="45"/>
      <c r="CY27" s="54"/>
      <c r="DF27" s="102"/>
      <c r="DG27" s="102"/>
      <c r="DM27" s="86"/>
      <c r="DN27" s="86"/>
      <c r="DO27" s="63"/>
      <c r="DP27" s="54"/>
      <c r="DW27" s="102"/>
      <c r="DX27" s="102"/>
      <c r="EE27" s="86"/>
      <c r="EF27" s="63"/>
      <c r="EG27" s="54"/>
      <c r="EN27" s="102"/>
      <c r="EQ27" s="86"/>
      <c r="ER27" s="86"/>
      <c r="EU27" s="54"/>
      <c r="FD27" s="102"/>
      <c r="FG27" s="86"/>
      <c r="FM27"/>
      <c r="FT27" s="86"/>
      <c r="FU27" s="63"/>
      <c r="FV27" s="54"/>
      <c r="FW27" s="54"/>
      <c r="FX27" s="54"/>
      <c r="FY27" s="86"/>
      <c r="FZ27" s="86"/>
      <c r="GA27" s="102" t="s">
        <v>1307</v>
      </c>
      <c r="GB27" s="102"/>
      <c r="GC27" s="86" t="s">
        <v>1308</v>
      </c>
      <c r="GI27" s="45"/>
      <c r="GJ27" s="54"/>
      <c r="GK27" s="54"/>
      <c r="GL27" s="86"/>
      <c r="GM27" s="86"/>
      <c r="GR27" s="102"/>
      <c r="GS27" s="102"/>
      <c r="HA27" s="63"/>
      <c r="HB27" s="54"/>
      <c r="HD27" s="86"/>
      <c r="HI27" s="102"/>
      <c r="HJ27" s="102"/>
      <c r="HR27" s="63"/>
      <c r="HS27" s="54"/>
      <c r="HU27" s="86"/>
      <c r="HZ27" s="102"/>
      <c r="IA27" s="86"/>
      <c r="IG27" s="54"/>
      <c r="IK27" s="86"/>
      <c r="IP27" s="142"/>
    </row>
    <row r="28" spans="1:265">
      <c r="A28" s="131"/>
      <c r="B28" s="23" t="s">
        <v>31</v>
      </c>
      <c r="C28" s="23"/>
      <c r="D28" s="23"/>
      <c r="E28" s="23"/>
      <c r="F28" s="23"/>
      <c r="G28" s="23"/>
      <c r="H28" s="24" t="s">
        <v>76</v>
      </c>
      <c r="I28" s="24"/>
      <c r="J28" s="24"/>
      <c r="K28" s="43" t="s">
        <v>208</v>
      </c>
      <c r="L28" s="43"/>
      <c r="M28" s="43"/>
      <c r="N28" s="43"/>
      <c r="O28" s="43"/>
      <c r="P28" s="43"/>
      <c r="Q28" s="43"/>
      <c r="R28" s="9" t="s">
        <v>34</v>
      </c>
      <c r="S28" s="140"/>
      <c r="T28" s="140"/>
      <c r="U28" s="140"/>
      <c r="V28" s="140"/>
      <c r="W28" s="140"/>
      <c r="X28" s="140"/>
      <c r="Y28" s="140"/>
      <c r="Z28" s="140"/>
      <c r="AA28" s="140"/>
      <c r="AB28" s="140"/>
      <c r="AC28" s="140"/>
      <c r="AD28" s="140"/>
      <c r="AE28" s="140"/>
      <c r="AF28" s="140"/>
      <c r="AG28" s="243" t="s">
        <v>286</v>
      </c>
      <c r="AH28" s="26"/>
      <c r="AI28" s="26"/>
      <c r="AJ28" s="9" t="s">
        <v>445</v>
      </c>
      <c r="AK28" s="9"/>
      <c r="AL28" s="9"/>
      <c r="AM28" s="9"/>
      <c r="AN28" s="9"/>
      <c r="AO28" s="9"/>
      <c r="AP28" s="9"/>
      <c r="AQ28" s="9"/>
      <c r="AR28" s="303" t="s">
        <v>122</v>
      </c>
      <c r="AS28" s="303"/>
      <c r="AT28" s="280"/>
      <c r="AU28" s="163"/>
      <c r="AV28" s="163"/>
      <c r="AW28" s="163"/>
      <c r="AX28" s="163"/>
      <c r="AY28" s="163"/>
      <c r="AZ28" s="163"/>
      <c r="BA28" s="163"/>
      <c r="BB28" s="163"/>
      <c r="BC28" s="166" t="s">
        <v>123</v>
      </c>
      <c r="BD28" s="166"/>
      <c r="BE28" s="166"/>
      <c r="BF28" s="156"/>
      <c r="BG28" s="247"/>
      <c r="BH28" s="247"/>
      <c r="BI28" s="156"/>
      <c r="BJ28" s="27" t="s">
        <v>287</v>
      </c>
      <c r="BK28" s="27"/>
      <c r="BL28" s="27"/>
      <c r="BM28" s="27"/>
      <c r="BN28" s="27"/>
      <c r="BO28" s="27"/>
      <c r="BP28" s="14"/>
      <c r="BQ28" s="273" t="s">
        <v>328</v>
      </c>
      <c r="BR28" s="273" t="s">
        <v>569</v>
      </c>
      <c r="BS28" s="273"/>
      <c r="BT28" s="273"/>
      <c r="BU28" s="273"/>
      <c r="BV28" s="273"/>
      <c r="BW28" s="273"/>
      <c r="BX28" s="102"/>
      <c r="BY28" s="102"/>
      <c r="BZ28" s="102"/>
      <c r="CA28" s="102"/>
      <c r="CD28" s="102"/>
      <c r="CE28" s="102"/>
      <c r="CH28" s="86"/>
      <c r="CI28" s="66" t="s">
        <v>144</v>
      </c>
      <c r="CJ28" s="144"/>
      <c r="CK28" s="144"/>
      <c r="CL28" s="144"/>
      <c r="CM28" s="66"/>
      <c r="CN28" s="66"/>
      <c r="CO28" s="66"/>
      <c r="CP28" s="159"/>
      <c r="CQ28" s="159"/>
      <c r="CR28" s="159"/>
      <c r="CS28" s="159"/>
      <c r="CT28" s="159"/>
      <c r="CU28" s="159"/>
      <c r="CV28" s="144"/>
      <c r="CW28" s="144"/>
      <c r="CX28" s="144"/>
      <c r="CY28" s="144"/>
      <c r="CZ28" s="144"/>
      <c r="DA28" s="144"/>
      <c r="DB28" s="144"/>
      <c r="DC28" s="1557" t="s">
        <v>406</v>
      </c>
      <c r="DD28" s="1557"/>
      <c r="DE28" s="1557"/>
      <c r="DF28" s="144"/>
      <c r="DG28" s="159"/>
      <c r="DH28" s="159"/>
      <c r="DI28" s="159"/>
      <c r="DJ28" s="159"/>
      <c r="DK28" s="159"/>
      <c r="DL28" s="159"/>
      <c r="DM28" s="66"/>
      <c r="DN28" s="144"/>
      <c r="DO28" s="144"/>
      <c r="DP28" s="144"/>
      <c r="DQ28" s="144"/>
      <c r="DR28" s="144"/>
      <c r="DS28" s="144"/>
      <c r="DT28" s="1557" t="s">
        <v>406</v>
      </c>
      <c r="DU28" s="1557"/>
      <c r="DV28" s="1557"/>
      <c r="DW28" s="144"/>
      <c r="DX28" s="159"/>
      <c r="DY28" s="159"/>
      <c r="DZ28" s="159"/>
      <c r="EA28" s="159"/>
      <c r="EB28" s="159"/>
      <c r="EC28" s="159"/>
      <c r="ED28" s="66"/>
      <c r="EE28" s="144"/>
      <c r="EF28" s="144"/>
      <c r="EG28" s="144"/>
      <c r="EH28" s="144"/>
      <c r="EI28" s="144"/>
      <c r="EJ28" s="144"/>
      <c r="EK28" s="1557" t="s">
        <v>406</v>
      </c>
      <c r="EL28" s="1557"/>
      <c r="EM28" s="1557"/>
      <c r="EN28" s="144"/>
      <c r="EO28" s="144"/>
      <c r="EP28" s="159"/>
      <c r="EQ28" s="144"/>
      <c r="ER28" s="144"/>
      <c r="ES28" s="144"/>
      <c r="ET28" s="144"/>
      <c r="EU28" s="144"/>
      <c r="EV28" s="144"/>
      <c r="EW28" s="144"/>
      <c r="EX28" s="144"/>
      <c r="EY28" s="144"/>
      <c r="EZ28" s="144"/>
      <c r="FA28" s="1557" t="s">
        <v>406</v>
      </c>
      <c r="FB28" s="1557"/>
      <c r="FC28" s="1557"/>
      <c r="FD28" s="144"/>
      <c r="FE28" s="144"/>
      <c r="FF28" s="159"/>
      <c r="FG28" s="144"/>
      <c r="FH28" s="144"/>
      <c r="FI28" s="144"/>
      <c r="FJ28" s="144"/>
      <c r="FK28" s="144"/>
      <c r="FL28" s="144"/>
      <c r="FM28" s="144"/>
      <c r="FN28" s="144"/>
      <c r="FO28" s="144"/>
      <c r="FP28" s="144"/>
      <c r="FQ28" s="1557" t="s">
        <v>406</v>
      </c>
      <c r="FR28" s="1557"/>
      <c r="FS28" s="1557"/>
      <c r="FT28" s="86"/>
      <c r="FU28" s="114" t="s">
        <v>190</v>
      </c>
      <c r="FV28" s="144"/>
      <c r="FW28" s="144"/>
      <c r="FX28" s="144"/>
      <c r="FY28" s="66"/>
      <c r="FZ28" s="159"/>
      <c r="GA28" s="159"/>
      <c r="GB28" s="159"/>
      <c r="GC28" s="159"/>
      <c r="GD28" s="159"/>
      <c r="GE28" s="159"/>
      <c r="GF28" s="159"/>
      <c r="GG28" s="159"/>
      <c r="GH28" s="144"/>
      <c r="GI28" s="144"/>
      <c r="GJ28" s="144"/>
      <c r="GK28" s="144"/>
      <c r="GL28" s="144"/>
      <c r="GM28" s="114"/>
      <c r="GN28" s="144"/>
      <c r="GO28" s="1557" t="s">
        <v>406</v>
      </c>
      <c r="GP28" s="1557"/>
      <c r="GQ28" s="1557"/>
      <c r="GR28" s="114"/>
      <c r="GS28" s="159"/>
      <c r="GT28" s="159"/>
      <c r="GU28" s="159"/>
      <c r="GV28" s="159"/>
      <c r="GW28" s="159"/>
      <c r="GX28" s="159"/>
      <c r="GY28" s="66"/>
      <c r="GZ28" s="144"/>
      <c r="HA28" s="144"/>
      <c r="HB28" s="144"/>
      <c r="HC28" s="144"/>
      <c r="HD28" s="144"/>
      <c r="HE28" s="144"/>
      <c r="HF28" s="1557" t="s">
        <v>406</v>
      </c>
      <c r="HG28" s="1557"/>
      <c r="HH28" s="1557"/>
      <c r="HI28" s="114"/>
      <c r="HJ28" s="159"/>
      <c r="HK28" s="159"/>
      <c r="HL28" s="159"/>
      <c r="HM28" s="159"/>
      <c r="HN28" s="159"/>
      <c r="HO28" s="159"/>
      <c r="HP28" s="66"/>
      <c r="HQ28" s="144"/>
      <c r="HR28" s="144"/>
      <c r="HS28" s="144"/>
      <c r="HT28" s="144"/>
      <c r="HU28" s="144"/>
      <c r="HV28" s="144"/>
      <c r="HW28" s="1557" t="s">
        <v>406</v>
      </c>
      <c r="HX28" s="1557"/>
      <c r="HY28" s="1557"/>
      <c r="HZ28" s="66"/>
      <c r="IA28" s="66"/>
      <c r="IB28" s="159"/>
      <c r="IC28" s="144"/>
      <c r="ID28" s="144"/>
      <c r="IE28" s="144"/>
      <c r="IF28" s="144"/>
      <c r="IG28" s="144"/>
      <c r="IH28" s="144"/>
      <c r="II28" s="144"/>
      <c r="IJ28" s="144"/>
      <c r="IK28" s="144"/>
      <c r="IL28" s="144"/>
      <c r="IM28" s="1557" t="s">
        <v>406</v>
      </c>
      <c r="IN28" s="1557"/>
      <c r="IO28" s="1557"/>
      <c r="IP28" s="66"/>
      <c r="IQ28" s="144"/>
      <c r="IR28" s="159"/>
      <c r="IS28" s="144"/>
      <c r="IT28" s="144"/>
      <c r="IU28" s="144"/>
      <c r="IV28" s="144"/>
      <c r="IW28" s="144"/>
      <c r="IX28" s="144"/>
      <c r="IY28" s="144"/>
      <c r="IZ28" s="144"/>
      <c r="JA28" s="144"/>
      <c r="JB28" s="144"/>
      <c r="JC28" s="1557" t="s">
        <v>406</v>
      </c>
      <c r="JD28" s="1557"/>
      <c r="JE28" s="1557"/>
    </row>
    <row r="29" spans="1:265" s="118" customFormat="1">
      <c r="A29" s="113"/>
      <c r="B29" s="113" t="s">
        <v>29</v>
      </c>
      <c r="C29" s="113" t="s">
        <v>275</v>
      </c>
      <c r="D29" s="113" t="s">
        <v>72</v>
      </c>
      <c r="E29" s="113" t="s">
        <v>73</v>
      </c>
      <c r="F29" s="113" t="s">
        <v>72</v>
      </c>
      <c r="G29" s="113" t="s">
        <v>73</v>
      </c>
      <c r="H29" s="120" t="s">
        <v>77</v>
      </c>
      <c r="I29" s="113" t="s">
        <v>108</v>
      </c>
      <c r="J29" s="120" t="s">
        <v>153</v>
      </c>
      <c r="K29" s="113" t="s">
        <v>79</v>
      </c>
      <c r="L29" s="113" t="s">
        <v>67</v>
      </c>
      <c r="M29" s="197" t="s">
        <v>308</v>
      </c>
      <c r="N29" s="1187" t="s">
        <v>1163</v>
      </c>
      <c r="O29" s="197" t="s">
        <v>143</v>
      </c>
      <c r="P29" s="197" t="s">
        <v>299</v>
      </c>
      <c r="Q29" s="320" t="s">
        <v>314</v>
      </c>
      <c r="R29" s="113" t="s">
        <v>37</v>
      </c>
      <c r="S29" s="113" t="s">
        <v>102</v>
      </c>
      <c r="T29" s="197" t="s">
        <v>349</v>
      </c>
      <c r="U29" s="120" t="s">
        <v>116</v>
      </c>
      <c r="V29" s="120" t="s">
        <v>266</v>
      </c>
      <c r="W29" s="120" t="s">
        <v>266</v>
      </c>
      <c r="X29" s="120" t="s">
        <v>191</v>
      </c>
      <c r="Y29" s="120" t="s">
        <v>191</v>
      </c>
      <c r="Z29" s="120" t="s">
        <v>191</v>
      </c>
      <c r="AA29" s="120" t="s">
        <v>191</v>
      </c>
      <c r="AB29" s="120" t="s">
        <v>386</v>
      </c>
      <c r="AC29" s="113" t="s">
        <v>103</v>
      </c>
      <c r="AD29" s="113" t="s">
        <v>350</v>
      </c>
      <c r="AE29" s="113" t="s">
        <v>354</v>
      </c>
      <c r="AF29" s="113" t="s">
        <v>141</v>
      </c>
      <c r="AG29" s="113" t="s">
        <v>104</v>
      </c>
      <c r="AH29" s="113" t="s">
        <v>141</v>
      </c>
      <c r="AI29" s="400" t="s">
        <v>200</v>
      </c>
      <c r="AJ29" s="379" t="s">
        <v>10</v>
      </c>
      <c r="AK29" s="380">
        <v>0.41760000000000003</v>
      </c>
      <c r="AL29" s="379"/>
      <c r="AM29" s="379"/>
      <c r="AN29" s="379"/>
      <c r="AO29" s="379" t="s">
        <v>105</v>
      </c>
      <c r="AP29" s="113" t="s">
        <v>105</v>
      </c>
      <c r="AQ29" s="379" t="s">
        <v>437</v>
      </c>
      <c r="AR29" s="299" t="s">
        <v>36</v>
      </c>
      <c r="AS29" s="299" t="s">
        <v>367</v>
      </c>
      <c r="AT29" s="276" t="s">
        <v>299</v>
      </c>
      <c r="AU29" s="113"/>
      <c r="AV29" s="164" t="s">
        <v>360</v>
      </c>
      <c r="AW29" s="164" t="s">
        <v>362</v>
      </c>
      <c r="AX29" s="164" t="s">
        <v>1163</v>
      </c>
      <c r="AY29" s="227" t="s">
        <v>263</v>
      </c>
      <c r="AZ29" s="164" t="s">
        <v>80</v>
      </c>
      <c r="BA29" s="164" t="s">
        <v>115</v>
      </c>
      <c r="BB29" s="164" t="s">
        <v>188</v>
      </c>
      <c r="BC29" s="164" t="s">
        <v>115</v>
      </c>
      <c r="BD29" s="164" t="s">
        <v>198</v>
      </c>
      <c r="BE29" s="164" t="s">
        <v>1168</v>
      </c>
      <c r="BF29" s="155" t="s">
        <v>199</v>
      </c>
      <c r="BG29" s="248" t="s">
        <v>153</v>
      </c>
      <c r="BH29" s="248" t="s">
        <v>153</v>
      </c>
      <c r="BI29" s="113" t="s">
        <v>108</v>
      </c>
      <c r="BJ29" s="113" t="s">
        <v>29</v>
      </c>
      <c r="BK29" s="155" t="s">
        <v>29</v>
      </c>
      <c r="BL29" s="155" t="s">
        <v>319</v>
      </c>
      <c r="BM29" s="155" t="s">
        <v>29</v>
      </c>
      <c r="BN29" s="1034" t="s">
        <v>188</v>
      </c>
      <c r="BO29" s="113" t="s">
        <v>275</v>
      </c>
      <c r="BP29" s="197"/>
      <c r="BQ29" s="1553" t="s">
        <v>312</v>
      </c>
      <c r="BR29" s="1553"/>
      <c r="BS29" s="197" t="s">
        <v>325</v>
      </c>
      <c r="BT29" s="275" t="s">
        <v>327</v>
      </c>
      <c r="BU29" s="197" t="s">
        <v>200</v>
      </c>
      <c r="BV29" s="197" t="s">
        <v>314</v>
      </c>
      <c r="BW29" s="286" t="s">
        <v>79</v>
      </c>
      <c r="BY29" s="131"/>
      <c r="BZ29" s="131"/>
      <c r="CA29" s="131"/>
      <c r="CB29" s="131"/>
      <c r="CC29" s="131"/>
      <c r="CD29" s="131"/>
      <c r="CE29" s="131"/>
      <c r="CF29" s="131"/>
      <c r="CG29" s="131"/>
      <c r="CI29" s="67" t="s">
        <v>143</v>
      </c>
      <c r="CJ29" s="122"/>
      <c r="CK29" s="62" t="s">
        <v>15</v>
      </c>
      <c r="CN29" s="204"/>
      <c r="CO29" s="101" t="s">
        <v>147</v>
      </c>
      <c r="CP29" s="101"/>
      <c r="CQ29" s="201" t="s">
        <v>205</v>
      </c>
      <c r="CR29" s="201"/>
      <c r="CS29" s="201"/>
      <c r="CT29" s="201"/>
      <c r="CU29" s="201"/>
      <c r="CV29" s="201" t="s">
        <v>237</v>
      </c>
      <c r="CW29" s="201" t="s">
        <v>149</v>
      </c>
      <c r="CX29" s="201" t="s">
        <v>200</v>
      </c>
      <c r="CY29" s="160"/>
      <c r="CZ29" s="62" t="s">
        <v>15</v>
      </c>
      <c r="DA29" s="115" t="s">
        <v>124</v>
      </c>
      <c r="DB29" s="115" t="s">
        <v>403</v>
      </c>
      <c r="DC29" s="115" t="s">
        <v>405</v>
      </c>
      <c r="DD29" s="115" t="s">
        <v>408</v>
      </c>
      <c r="DE29" s="115" t="s">
        <v>408</v>
      </c>
      <c r="DF29" s="101" t="s">
        <v>148</v>
      </c>
      <c r="DG29" s="101"/>
      <c r="DH29" s="201" t="s">
        <v>205</v>
      </c>
      <c r="DI29" s="201"/>
      <c r="DJ29" s="201"/>
      <c r="DK29" s="201"/>
      <c r="DL29" s="201"/>
      <c r="DM29" s="201" t="s">
        <v>237</v>
      </c>
      <c r="DN29" s="201" t="s">
        <v>149</v>
      </c>
      <c r="DO29" s="201" t="s">
        <v>200</v>
      </c>
      <c r="DP29" s="160"/>
      <c r="DQ29" s="62" t="s">
        <v>15</v>
      </c>
      <c r="DR29" s="115" t="s">
        <v>124</v>
      </c>
      <c r="DS29" s="115" t="s">
        <v>403</v>
      </c>
      <c r="DT29" s="115" t="s">
        <v>405</v>
      </c>
      <c r="DU29" s="115" t="s">
        <v>408</v>
      </c>
      <c r="DV29" s="115" t="s">
        <v>408</v>
      </c>
      <c r="DW29" s="101" t="s">
        <v>409</v>
      </c>
      <c r="DX29" s="101"/>
      <c r="DY29" s="201" t="s">
        <v>205</v>
      </c>
      <c r="DZ29" s="201"/>
      <c r="EA29" s="201"/>
      <c r="EB29" s="201"/>
      <c r="EC29" s="201"/>
      <c r="ED29" s="201" t="s">
        <v>237</v>
      </c>
      <c r="EE29" s="201" t="s">
        <v>149</v>
      </c>
      <c r="EF29" s="201" t="s">
        <v>200</v>
      </c>
      <c r="EG29" s="160"/>
      <c r="EH29" s="62" t="s">
        <v>15</v>
      </c>
      <c r="EI29" s="115" t="s">
        <v>124</v>
      </c>
      <c r="EJ29" s="115" t="s">
        <v>403</v>
      </c>
      <c r="EK29" s="115" t="s">
        <v>405</v>
      </c>
      <c r="EL29" s="115" t="s">
        <v>408</v>
      </c>
      <c r="EM29" s="115" t="s">
        <v>408</v>
      </c>
      <c r="EN29" s="101" t="s">
        <v>145</v>
      </c>
      <c r="EO29" s="217" t="s">
        <v>245</v>
      </c>
      <c r="EP29" s="201" t="s">
        <v>292</v>
      </c>
      <c r="EQ29" s="201" t="s">
        <v>237</v>
      </c>
      <c r="ER29" s="201" t="s">
        <v>245</v>
      </c>
      <c r="ES29" s="201" t="s">
        <v>233</v>
      </c>
      <c r="ET29" s="201" t="s">
        <v>149</v>
      </c>
      <c r="EU29" s="201" t="s">
        <v>200</v>
      </c>
      <c r="EV29" s="201" t="s">
        <v>189</v>
      </c>
      <c r="EW29" s="122"/>
      <c r="EX29" s="62" t="s">
        <v>15</v>
      </c>
      <c r="EY29" s="115" t="s">
        <v>124</v>
      </c>
      <c r="EZ29" s="115" t="s">
        <v>403</v>
      </c>
      <c r="FA29" s="115" t="s">
        <v>405</v>
      </c>
      <c r="FB29" s="115" t="s">
        <v>408</v>
      </c>
      <c r="FC29" s="115" t="s">
        <v>408</v>
      </c>
      <c r="FD29" s="101" t="s">
        <v>146</v>
      </c>
      <c r="FE29" s="217" t="s">
        <v>245</v>
      </c>
      <c r="FF29" s="201" t="s">
        <v>292</v>
      </c>
      <c r="FG29" s="201" t="s">
        <v>237</v>
      </c>
      <c r="FH29" s="201" t="s">
        <v>245</v>
      </c>
      <c r="FI29" s="201" t="s">
        <v>233</v>
      </c>
      <c r="FJ29" s="201" t="s">
        <v>149</v>
      </c>
      <c r="FK29" s="201" t="s">
        <v>200</v>
      </c>
      <c r="FL29" s="201" t="s">
        <v>189</v>
      </c>
      <c r="FM29" s="122"/>
      <c r="FN29" s="62" t="s">
        <v>15</v>
      </c>
      <c r="FO29" s="115" t="s">
        <v>124</v>
      </c>
      <c r="FP29" s="115" t="s">
        <v>403</v>
      </c>
      <c r="FQ29" s="115" t="s">
        <v>405</v>
      </c>
      <c r="FR29" s="115" t="s">
        <v>408</v>
      </c>
      <c r="FS29" s="115" t="s">
        <v>408</v>
      </c>
      <c r="FU29" s="151" t="s">
        <v>143</v>
      </c>
      <c r="FV29" s="122"/>
      <c r="FW29" s="62" t="s">
        <v>15</v>
      </c>
      <c r="FY29" s="90"/>
      <c r="FZ29" s="204"/>
      <c r="GA29" s="101" t="s">
        <v>147</v>
      </c>
      <c r="GB29" s="101"/>
      <c r="GC29" s="201" t="s">
        <v>205</v>
      </c>
      <c r="GD29" s="201"/>
      <c r="GE29" s="201"/>
      <c r="GF29" s="201"/>
      <c r="GG29" s="201"/>
      <c r="GH29" s="201" t="s">
        <v>237</v>
      </c>
      <c r="GI29" s="201" t="s">
        <v>149</v>
      </c>
      <c r="GJ29" s="201" t="s">
        <v>200</v>
      </c>
      <c r="GK29" s="160"/>
      <c r="GL29" s="62" t="s">
        <v>15</v>
      </c>
      <c r="GM29" s="115" t="s">
        <v>124</v>
      </c>
      <c r="GN29" s="115" t="s">
        <v>403</v>
      </c>
      <c r="GO29" s="115" t="s">
        <v>405</v>
      </c>
      <c r="GP29" s="115" t="s">
        <v>408</v>
      </c>
      <c r="GQ29" s="115" t="s">
        <v>408</v>
      </c>
      <c r="GR29" s="101" t="s">
        <v>148</v>
      </c>
      <c r="GS29" s="101"/>
      <c r="GT29" s="201" t="s">
        <v>205</v>
      </c>
      <c r="GU29" s="201"/>
      <c r="GV29" s="201"/>
      <c r="GW29" s="201"/>
      <c r="GX29" s="201"/>
      <c r="GY29" s="201" t="s">
        <v>237</v>
      </c>
      <c r="GZ29" s="201" t="s">
        <v>149</v>
      </c>
      <c r="HA29" s="201" t="s">
        <v>200</v>
      </c>
      <c r="HB29" s="160"/>
      <c r="HC29" s="62" t="s">
        <v>15</v>
      </c>
      <c r="HD29" s="115" t="s">
        <v>124</v>
      </c>
      <c r="HE29" s="115" t="s">
        <v>403</v>
      </c>
      <c r="HF29" s="115" t="s">
        <v>405</v>
      </c>
      <c r="HG29" s="115" t="s">
        <v>408</v>
      </c>
      <c r="HH29" s="115" t="s">
        <v>408</v>
      </c>
      <c r="HI29" s="101" t="s">
        <v>409</v>
      </c>
      <c r="HJ29" s="101"/>
      <c r="HK29" s="201" t="s">
        <v>205</v>
      </c>
      <c r="HL29" s="201"/>
      <c r="HM29" s="201"/>
      <c r="HN29" s="201"/>
      <c r="HO29" s="201"/>
      <c r="HP29" s="201" t="s">
        <v>237</v>
      </c>
      <c r="HQ29" s="201" t="s">
        <v>149</v>
      </c>
      <c r="HR29" s="201" t="s">
        <v>200</v>
      </c>
      <c r="HS29" s="160"/>
      <c r="HT29" s="62" t="s">
        <v>15</v>
      </c>
      <c r="HU29" s="115" t="s">
        <v>124</v>
      </c>
      <c r="HV29" s="115" t="s">
        <v>403</v>
      </c>
      <c r="HW29" s="115" t="s">
        <v>405</v>
      </c>
      <c r="HX29" s="115" t="s">
        <v>408</v>
      </c>
      <c r="HY29" s="115" t="s">
        <v>408</v>
      </c>
      <c r="HZ29" s="101" t="s">
        <v>145</v>
      </c>
      <c r="IA29" s="217" t="s">
        <v>245</v>
      </c>
      <c r="IB29" s="201" t="s">
        <v>292</v>
      </c>
      <c r="IC29" s="201" t="s">
        <v>237</v>
      </c>
      <c r="ID29" s="201" t="s">
        <v>245</v>
      </c>
      <c r="IE29" s="201" t="s">
        <v>233</v>
      </c>
      <c r="IF29" s="201" t="s">
        <v>149</v>
      </c>
      <c r="IG29" s="201" t="s">
        <v>200</v>
      </c>
      <c r="IH29" s="201" t="s">
        <v>189</v>
      </c>
      <c r="II29" s="122"/>
      <c r="IJ29" s="62" t="s">
        <v>15</v>
      </c>
      <c r="IK29" s="115" t="s">
        <v>124</v>
      </c>
      <c r="IL29" s="115" t="s">
        <v>403</v>
      </c>
      <c r="IM29" s="115" t="s">
        <v>405</v>
      </c>
      <c r="IN29" s="115" t="s">
        <v>408</v>
      </c>
      <c r="IO29" s="115" t="s">
        <v>408</v>
      </c>
      <c r="IP29" s="101" t="s">
        <v>146</v>
      </c>
      <c r="IQ29" s="217" t="s">
        <v>245</v>
      </c>
      <c r="IR29" s="201" t="s">
        <v>292</v>
      </c>
      <c r="IS29" s="201" t="s">
        <v>237</v>
      </c>
      <c r="IT29" s="201" t="s">
        <v>245</v>
      </c>
      <c r="IU29" s="201" t="s">
        <v>233</v>
      </c>
      <c r="IV29" s="201" t="s">
        <v>149</v>
      </c>
      <c r="IW29" s="201" t="s">
        <v>200</v>
      </c>
      <c r="IX29" s="201" t="s">
        <v>189</v>
      </c>
      <c r="IY29" s="122"/>
      <c r="IZ29" s="62" t="s">
        <v>15</v>
      </c>
      <c r="JA29" s="115" t="s">
        <v>124</v>
      </c>
      <c r="JB29" s="115" t="s">
        <v>403</v>
      </c>
      <c r="JC29" s="115" t="s">
        <v>405</v>
      </c>
      <c r="JD29" s="115" t="s">
        <v>408</v>
      </c>
      <c r="JE29" s="115" t="s">
        <v>408</v>
      </c>
    </row>
    <row r="30" spans="1:265" s="332" customFormat="1" ht="34.5" customHeight="1" thickBot="1">
      <c r="A30" s="326" t="s">
        <v>71</v>
      </c>
      <c r="B30" s="326" t="s">
        <v>39</v>
      </c>
      <c r="C30" s="326" t="s">
        <v>39</v>
      </c>
      <c r="D30" s="326" t="s">
        <v>231</v>
      </c>
      <c r="E30" s="326" t="s">
        <v>231</v>
      </c>
      <c r="F30" s="326" t="s">
        <v>74</v>
      </c>
      <c r="G30" s="326" t="s">
        <v>74</v>
      </c>
      <c r="H30" s="327" t="s">
        <v>76</v>
      </c>
      <c r="I30" s="326" t="s">
        <v>109</v>
      </c>
      <c r="J30" s="327" t="s">
        <v>187</v>
      </c>
      <c r="K30" s="326" t="s">
        <v>15</v>
      </c>
      <c r="L30" s="326" t="s">
        <v>265</v>
      </c>
      <c r="M30" s="326" t="s">
        <v>309</v>
      </c>
      <c r="N30" s="326" t="s">
        <v>235</v>
      </c>
      <c r="O30" s="326" t="s">
        <v>235</v>
      </c>
      <c r="P30" s="326" t="s">
        <v>369</v>
      </c>
      <c r="Q30" s="326" t="s">
        <v>396</v>
      </c>
      <c r="R30" s="326" t="s">
        <v>195</v>
      </c>
      <c r="S30" s="326" t="s">
        <v>39</v>
      </c>
      <c r="T30" s="326" t="s">
        <v>307</v>
      </c>
      <c r="U30" s="327" t="s">
        <v>117</v>
      </c>
      <c r="V30" s="327">
        <v>1</v>
      </c>
      <c r="W30" s="327">
        <v>2</v>
      </c>
      <c r="X30" s="327" t="s">
        <v>373</v>
      </c>
      <c r="Y30" s="327" t="s">
        <v>374</v>
      </c>
      <c r="Z30" s="327" t="s">
        <v>370</v>
      </c>
      <c r="AA30" s="327" t="s">
        <v>371</v>
      </c>
      <c r="AB30" s="327" t="s">
        <v>387</v>
      </c>
      <c r="AC30" s="326" t="s">
        <v>79</v>
      </c>
      <c r="AD30" s="326" t="s">
        <v>351</v>
      </c>
      <c r="AE30" s="326" t="s">
        <v>15</v>
      </c>
      <c r="AF30" s="326" t="s">
        <v>277</v>
      </c>
      <c r="AG30" s="326" t="s">
        <v>39</v>
      </c>
      <c r="AH30" s="326" t="s">
        <v>278</v>
      </c>
      <c r="AI30" s="326" t="s">
        <v>471</v>
      </c>
      <c r="AJ30" s="326" t="s">
        <v>438</v>
      </c>
      <c r="AK30" s="326" t="s">
        <v>439</v>
      </c>
      <c r="AL30" s="326" t="s">
        <v>438</v>
      </c>
      <c r="AM30" s="326" t="s">
        <v>441</v>
      </c>
      <c r="AN30" s="326" t="s">
        <v>442</v>
      </c>
      <c r="AO30" s="326" t="s">
        <v>440</v>
      </c>
      <c r="AP30" s="326" t="s">
        <v>443</v>
      </c>
      <c r="AQ30" s="326" t="s">
        <v>444</v>
      </c>
      <c r="AR30" s="328" t="s">
        <v>276</v>
      </c>
      <c r="AS30" s="328" t="s">
        <v>368</v>
      </c>
      <c r="AT30" s="326" t="s">
        <v>345</v>
      </c>
      <c r="AU30" s="327" t="s">
        <v>285</v>
      </c>
      <c r="AV30" s="329" t="s">
        <v>361</v>
      </c>
      <c r="AW30" s="330" t="s">
        <v>262</v>
      </c>
      <c r="AX30" s="330" t="s">
        <v>15</v>
      </c>
      <c r="AY30" s="330" t="s">
        <v>264</v>
      </c>
      <c r="AZ30" s="330" t="s">
        <v>15</v>
      </c>
      <c r="BA30" s="330" t="s">
        <v>15</v>
      </c>
      <c r="BB30" s="330" t="s">
        <v>196</v>
      </c>
      <c r="BC30" s="330" t="s">
        <v>15</v>
      </c>
      <c r="BD30" s="330" t="s">
        <v>15</v>
      </c>
      <c r="BE30" s="330" t="s">
        <v>15</v>
      </c>
      <c r="BF30" s="326" t="s">
        <v>15</v>
      </c>
      <c r="BG30" s="331" t="s">
        <v>304</v>
      </c>
      <c r="BH30" s="331" t="s">
        <v>305</v>
      </c>
      <c r="BI30" s="326"/>
      <c r="BJ30" s="326" t="s">
        <v>49</v>
      </c>
      <c r="BK30" s="326" t="s">
        <v>80</v>
      </c>
      <c r="BL30" s="326" t="s">
        <v>318</v>
      </c>
      <c r="BM30" s="326" t="s">
        <v>197</v>
      </c>
      <c r="BN30" s="326" t="s">
        <v>1163</v>
      </c>
      <c r="BO30" s="326" t="s">
        <v>320</v>
      </c>
      <c r="BP30" s="326"/>
      <c r="BQ30" s="326" t="s">
        <v>313</v>
      </c>
      <c r="BR30" s="326" t="s">
        <v>284</v>
      </c>
      <c r="BS30" s="326" t="s">
        <v>324</v>
      </c>
      <c r="BT30" s="326" t="s">
        <v>326</v>
      </c>
      <c r="BU30" s="326" t="s">
        <v>321</v>
      </c>
      <c r="BV30" s="326" t="s">
        <v>315</v>
      </c>
      <c r="BW30" s="326" t="s">
        <v>355</v>
      </c>
      <c r="BY30" s="333" t="s">
        <v>268</v>
      </c>
      <c r="BZ30" s="333" t="s">
        <v>30</v>
      </c>
      <c r="CA30" s="333" t="s">
        <v>143</v>
      </c>
      <c r="CB30" s="333" t="s">
        <v>44</v>
      </c>
      <c r="CC30" s="333" t="s">
        <v>75</v>
      </c>
      <c r="CD30" s="333"/>
      <c r="CE30" s="333" t="s">
        <v>91</v>
      </c>
      <c r="CF30" s="333"/>
      <c r="CG30" s="333"/>
      <c r="CI30" s="326" t="s">
        <v>322</v>
      </c>
      <c r="CJ30" s="326" t="s">
        <v>119</v>
      </c>
      <c r="CK30" s="326" t="s">
        <v>40</v>
      </c>
      <c r="CL30" s="326" t="s">
        <v>111</v>
      </c>
      <c r="CM30" s="334" t="s">
        <v>110</v>
      </c>
      <c r="CN30" s="335" t="s">
        <v>203</v>
      </c>
      <c r="CO30" s="336" t="s">
        <v>245</v>
      </c>
      <c r="CP30" s="337" t="s">
        <v>288</v>
      </c>
      <c r="CQ30" s="337" t="s">
        <v>289</v>
      </c>
      <c r="CR30" s="337" t="s">
        <v>502</v>
      </c>
      <c r="CS30" s="337" t="s">
        <v>503</v>
      </c>
      <c r="CT30" s="337" t="s">
        <v>504</v>
      </c>
      <c r="CU30" s="337" t="s">
        <v>505</v>
      </c>
      <c r="CV30" s="326" t="s">
        <v>236</v>
      </c>
      <c r="CW30" s="326" t="s">
        <v>236</v>
      </c>
      <c r="CX30" s="327" t="s">
        <v>289</v>
      </c>
      <c r="CY30" s="326" t="s">
        <v>111</v>
      </c>
      <c r="CZ30" s="326" t="s">
        <v>40</v>
      </c>
      <c r="DA30" s="330" t="s">
        <v>290</v>
      </c>
      <c r="DB30" s="330" t="s">
        <v>404</v>
      </c>
      <c r="DC30" s="330" t="s">
        <v>407</v>
      </c>
      <c r="DD30" s="330" t="s">
        <v>407</v>
      </c>
      <c r="DE30" s="330" t="s">
        <v>404</v>
      </c>
      <c r="DF30" s="336" t="s">
        <v>245</v>
      </c>
      <c r="DG30" s="337" t="s">
        <v>288</v>
      </c>
      <c r="DH30" s="337" t="s">
        <v>289</v>
      </c>
      <c r="DI30" s="337" t="s">
        <v>502</v>
      </c>
      <c r="DJ30" s="337" t="s">
        <v>503</v>
      </c>
      <c r="DK30" s="337" t="s">
        <v>504</v>
      </c>
      <c r="DL30" s="337" t="s">
        <v>505</v>
      </c>
      <c r="DM30" s="326" t="s">
        <v>236</v>
      </c>
      <c r="DN30" s="326" t="s">
        <v>236</v>
      </c>
      <c r="DO30" s="327" t="s">
        <v>289</v>
      </c>
      <c r="DP30" s="326" t="s">
        <v>111</v>
      </c>
      <c r="DQ30" s="326" t="s">
        <v>40</v>
      </c>
      <c r="DR30" s="330" t="s">
        <v>290</v>
      </c>
      <c r="DS30" s="330" t="s">
        <v>404</v>
      </c>
      <c r="DT30" s="330" t="s">
        <v>407</v>
      </c>
      <c r="DU30" s="330" t="s">
        <v>407</v>
      </c>
      <c r="DV30" s="330" t="s">
        <v>404</v>
      </c>
      <c r="DW30" s="336" t="s">
        <v>245</v>
      </c>
      <c r="DX30" s="337" t="s">
        <v>288</v>
      </c>
      <c r="DY30" s="337" t="s">
        <v>289</v>
      </c>
      <c r="DZ30" s="337" t="s">
        <v>502</v>
      </c>
      <c r="EA30" s="337" t="s">
        <v>503</v>
      </c>
      <c r="EB30" s="337" t="s">
        <v>504</v>
      </c>
      <c r="EC30" s="337" t="s">
        <v>505</v>
      </c>
      <c r="ED30" s="326" t="s">
        <v>236</v>
      </c>
      <c r="EE30" s="326" t="s">
        <v>236</v>
      </c>
      <c r="EF30" s="327" t="s">
        <v>289</v>
      </c>
      <c r="EG30" s="326" t="s">
        <v>111</v>
      </c>
      <c r="EH30" s="326" t="s">
        <v>40</v>
      </c>
      <c r="EI30" s="330" t="s">
        <v>290</v>
      </c>
      <c r="EJ30" s="330" t="s">
        <v>404</v>
      </c>
      <c r="EK30" s="330" t="s">
        <v>407</v>
      </c>
      <c r="EL30" s="330" t="s">
        <v>407</v>
      </c>
      <c r="EM30" s="330" t="s">
        <v>404</v>
      </c>
      <c r="EN30" s="334" t="s">
        <v>291</v>
      </c>
      <c r="EO30" s="334" t="s">
        <v>246</v>
      </c>
      <c r="EP30" s="338" t="s">
        <v>246</v>
      </c>
      <c r="EQ30" s="326" t="s">
        <v>236</v>
      </c>
      <c r="ER30" s="326" t="s">
        <v>247</v>
      </c>
      <c r="ES30" s="338" t="s">
        <v>247</v>
      </c>
      <c r="ET30" s="326" t="s">
        <v>236</v>
      </c>
      <c r="EU30" s="327" t="s">
        <v>289</v>
      </c>
      <c r="EV30" s="327" t="s">
        <v>293</v>
      </c>
      <c r="EW30" s="326" t="s">
        <v>111</v>
      </c>
      <c r="EX30" s="326" t="s">
        <v>40</v>
      </c>
      <c r="EY30" s="330" t="s">
        <v>290</v>
      </c>
      <c r="EZ30" s="330" t="s">
        <v>404</v>
      </c>
      <c r="FA30" s="330" t="s">
        <v>407</v>
      </c>
      <c r="FB30" s="330" t="s">
        <v>407</v>
      </c>
      <c r="FC30" s="330" t="s">
        <v>404</v>
      </c>
      <c r="FD30" s="334" t="s">
        <v>291</v>
      </c>
      <c r="FE30" s="334" t="s">
        <v>246</v>
      </c>
      <c r="FF30" s="338" t="s">
        <v>246</v>
      </c>
      <c r="FG30" s="326" t="s">
        <v>236</v>
      </c>
      <c r="FH30" s="326" t="s">
        <v>247</v>
      </c>
      <c r="FI30" s="338" t="s">
        <v>247</v>
      </c>
      <c r="FJ30" s="326" t="s">
        <v>236</v>
      </c>
      <c r="FK30" s="327" t="s">
        <v>289</v>
      </c>
      <c r="FL30" s="327" t="s">
        <v>293</v>
      </c>
      <c r="FM30" s="326" t="s">
        <v>111</v>
      </c>
      <c r="FN30" s="326" t="s">
        <v>40</v>
      </c>
      <c r="FO30" s="330" t="s">
        <v>290</v>
      </c>
      <c r="FP30" s="330" t="s">
        <v>404</v>
      </c>
      <c r="FQ30" s="330" t="s">
        <v>407</v>
      </c>
      <c r="FR30" s="330" t="s">
        <v>407</v>
      </c>
      <c r="FS30" s="330" t="s">
        <v>404</v>
      </c>
      <c r="FU30" s="326" t="s">
        <v>322</v>
      </c>
      <c r="FV30" s="326" t="s">
        <v>119</v>
      </c>
      <c r="FW30" s="326" t="s">
        <v>40</v>
      </c>
      <c r="FX30" s="326" t="s">
        <v>111</v>
      </c>
      <c r="FY30" s="334" t="s">
        <v>110</v>
      </c>
      <c r="FZ30" s="335" t="s">
        <v>203</v>
      </c>
      <c r="GA30" s="336" t="s">
        <v>245</v>
      </c>
      <c r="GB30" s="337" t="s">
        <v>288</v>
      </c>
      <c r="GC30" s="337" t="s">
        <v>289</v>
      </c>
      <c r="GD30" s="337" t="s">
        <v>502</v>
      </c>
      <c r="GE30" s="337" t="s">
        <v>503</v>
      </c>
      <c r="GF30" s="337" t="s">
        <v>504</v>
      </c>
      <c r="GG30" s="337" t="s">
        <v>505</v>
      </c>
      <c r="GH30" s="326" t="s">
        <v>236</v>
      </c>
      <c r="GI30" s="326" t="s">
        <v>236</v>
      </c>
      <c r="GJ30" s="327" t="s">
        <v>289</v>
      </c>
      <c r="GK30" s="326" t="s">
        <v>111</v>
      </c>
      <c r="GL30" s="326" t="s">
        <v>40</v>
      </c>
      <c r="GM30" s="330" t="s">
        <v>290</v>
      </c>
      <c r="GN30" s="330" t="s">
        <v>404</v>
      </c>
      <c r="GO30" s="330" t="s">
        <v>407</v>
      </c>
      <c r="GP30" s="330" t="s">
        <v>407</v>
      </c>
      <c r="GQ30" s="330" t="s">
        <v>404</v>
      </c>
      <c r="GR30" s="336" t="s">
        <v>245</v>
      </c>
      <c r="GS30" s="337" t="s">
        <v>288</v>
      </c>
      <c r="GT30" s="337" t="s">
        <v>289</v>
      </c>
      <c r="GU30" s="337" t="s">
        <v>502</v>
      </c>
      <c r="GV30" s="337" t="s">
        <v>503</v>
      </c>
      <c r="GW30" s="337" t="s">
        <v>504</v>
      </c>
      <c r="GX30" s="337" t="s">
        <v>505</v>
      </c>
      <c r="GY30" s="326" t="s">
        <v>236</v>
      </c>
      <c r="GZ30" s="326" t="s">
        <v>236</v>
      </c>
      <c r="HA30" s="327" t="s">
        <v>289</v>
      </c>
      <c r="HB30" s="326" t="s">
        <v>111</v>
      </c>
      <c r="HC30" s="326" t="s">
        <v>40</v>
      </c>
      <c r="HD30" s="330" t="s">
        <v>290</v>
      </c>
      <c r="HE30" s="330" t="s">
        <v>404</v>
      </c>
      <c r="HF30" s="330" t="s">
        <v>407</v>
      </c>
      <c r="HG30" s="330" t="s">
        <v>407</v>
      </c>
      <c r="HH30" s="330" t="s">
        <v>404</v>
      </c>
      <c r="HI30" s="336" t="s">
        <v>245</v>
      </c>
      <c r="HJ30" s="337" t="s">
        <v>288</v>
      </c>
      <c r="HK30" s="337" t="s">
        <v>289</v>
      </c>
      <c r="HL30" s="337" t="s">
        <v>502</v>
      </c>
      <c r="HM30" s="337" t="s">
        <v>503</v>
      </c>
      <c r="HN30" s="337" t="s">
        <v>504</v>
      </c>
      <c r="HO30" s="337" t="s">
        <v>505</v>
      </c>
      <c r="HP30" s="326" t="s">
        <v>236</v>
      </c>
      <c r="HQ30" s="326" t="s">
        <v>236</v>
      </c>
      <c r="HR30" s="327" t="s">
        <v>289</v>
      </c>
      <c r="HS30" s="326" t="s">
        <v>111</v>
      </c>
      <c r="HT30" s="326" t="s">
        <v>40</v>
      </c>
      <c r="HU30" s="330" t="s">
        <v>290</v>
      </c>
      <c r="HV30" s="330" t="s">
        <v>404</v>
      </c>
      <c r="HW30" s="330" t="s">
        <v>407</v>
      </c>
      <c r="HX30" s="330" t="s">
        <v>407</v>
      </c>
      <c r="HY30" s="330" t="s">
        <v>404</v>
      </c>
      <c r="HZ30" s="334" t="s">
        <v>291</v>
      </c>
      <c r="IA30" s="334" t="s">
        <v>246</v>
      </c>
      <c r="IB30" s="338" t="s">
        <v>246</v>
      </c>
      <c r="IC30" s="326" t="s">
        <v>236</v>
      </c>
      <c r="ID30" s="326" t="s">
        <v>247</v>
      </c>
      <c r="IE30" s="338" t="s">
        <v>247</v>
      </c>
      <c r="IF30" s="326" t="s">
        <v>236</v>
      </c>
      <c r="IG30" s="327" t="s">
        <v>289</v>
      </c>
      <c r="IH30" s="327" t="s">
        <v>293</v>
      </c>
      <c r="II30" s="326" t="s">
        <v>111</v>
      </c>
      <c r="IJ30" s="326" t="s">
        <v>40</v>
      </c>
      <c r="IK30" s="330" t="s">
        <v>290</v>
      </c>
      <c r="IL30" s="330" t="s">
        <v>404</v>
      </c>
      <c r="IM30" s="330" t="s">
        <v>407</v>
      </c>
      <c r="IN30" s="330" t="s">
        <v>407</v>
      </c>
      <c r="IO30" s="330" t="s">
        <v>404</v>
      </c>
      <c r="IP30" s="334" t="s">
        <v>291</v>
      </c>
      <c r="IQ30" s="334" t="s">
        <v>246</v>
      </c>
      <c r="IR30" s="338" t="s">
        <v>246</v>
      </c>
      <c r="IS30" s="326" t="s">
        <v>236</v>
      </c>
      <c r="IT30" s="326" t="s">
        <v>247</v>
      </c>
      <c r="IU30" s="338" t="s">
        <v>247</v>
      </c>
      <c r="IV30" s="326" t="s">
        <v>236</v>
      </c>
      <c r="IW30" s="327" t="s">
        <v>289</v>
      </c>
      <c r="IX30" s="327" t="s">
        <v>293</v>
      </c>
      <c r="IY30" s="326" t="s">
        <v>111</v>
      </c>
      <c r="IZ30" s="326" t="s">
        <v>40</v>
      </c>
      <c r="JA30" s="330" t="s">
        <v>290</v>
      </c>
      <c r="JB30" s="330" t="s">
        <v>404</v>
      </c>
      <c r="JC30" s="330" t="s">
        <v>407</v>
      </c>
      <c r="JD30" s="330" t="s">
        <v>407</v>
      </c>
      <c r="JE30" s="330" t="s">
        <v>404</v>
      </c>
    </row>
    <row r="31" spans="1:265" s="46" customFormat="1">
      <c r="A31" s="86">
        <v>1</v>
      </c>
      <c r="B31" s="296">
        <v>500000</v>
      </c>
      <c r="C31" s="296">
        <v>175000</v>
      </c>
      <c r="D31" s="117">
        <v>100000</v>
      </c>
      <c r="E31" s="117">
        <v>75000</v>
      </c>
      <c r="F31" s="29">
        <v>1</v>
      </c>
      <c r="G31" s="29">
        <v>1</v>
      </c>
      <c r="H31" s="126">
        <v>42667.687395833331</v>
      </c>
      <c r="I31" s="68">
        <v>1</v>
      </c>
      <c r="J31" s="125">
        <v>1</v>
      </c>
      <c r="K31" s="117">
        <v>70000</v>
      </c>
      <c r="L31" s="147">
        <v>0</v>
      </c>
      <c r="M31" s="147">
        <v>15000</v>
      </c>
      <c r="N31" s="147">
        <v>0</v>
      </c>
      <c r="O31" s="127">
        <v>43941.568082191778</v>
      </c>
      <c r="P31" s="147">
        <v>8750.07</v>
      </c>
      <c r="Q31" s="147">
        <v>0</v>
      </c>
      <c r="R31" s="319">
        <v>2308.3619178082195</v>
      </c>
      <c r="S31" s="46">
        <v>675000</v>
      </c>
      <c r="T31" s="54">
        <v>4.3368086899420177E-19</v>
      </c>
      <c r="U31" s="152">
        <v>0</v>
      </c>
      <c r="V31" s="152">
        <v>1.7500000000000002E-2</v>
      </c>
      <c r="W31" s="152">
        <v>3.2500000000000001E-2</v>
      </c>
      <c r="X31" s="5">
        <v>6500</v>
      </c>
      <c r="Y31" s="5">
        <v>6500</v>
      </c>
      <c r="Z31" s="5">
        <v>0</v>
      </c>
      <c r="AA31" s="5">
        <v>0</v>
      </c>
      <c r="AB31" s="5">
        <v>0</v>
      </c>
      <c r="AC31" s="46">
        <v>20713.5</v>
      </c>
      <c r="AD31" s="46">
        <v>0</v>
      </c>
      <c r="AE31" s="46">
        <v>20713.5</v>
      </c>
      <c r="AF31" s="46">
        <v>27821.65</v>
      </c>
      <c r="AG31" s="46">
        <v>865000</v>
      </c>
      <c r="AH31" s="46">
        <v>0</v>
      </c>
      <c r="AI31" s="46">
        <v>373253.60972067941</v>
      </c>
      <c r="AJ31" s="300">
        <v>1203</v>
      </c>
      <c r="AK31" s="300">
        <v>1121.8984615384616</v>
      </c>
      <c r="AL31" s="300">
        <v>1203</v>
      </c>
      <c r="AM31" s="300">
        <v>98.2</v>
      </c>
      <c r="AN31" s="300">
        <v>21.2</v>
      </c>
      <c r="AO31" s="300">
        <v>1322.4</v>
      </c>
      <c r="AP31" s="300">
        <v>34382.400000000001</v>
      </c>
      <c r="AQ31" s="300">
        <v>1924</v>
      </c>
      <c r="AR31" s="304">
        <v>4016.0838139458747</v>
      </c>
      <c r="AS31" s="130">
        <v>2.6243902439024396E-2</v>
      </c>
      <c r="AT31" s="5">
        <v>0</v>
      </c>
      <c r="AU31" s="127">
        <v>0</v>
      </c>
      <c r="AV31" s="304">
        <v>4016.0838139458747</v>
      </c>
      <c r="AW31" s="154">
        <v>0</v>
      </c>
      <c r="AX31" s="154">
        <v>15000</v>
      </c>
      <c r="AY31" s="154">
        <v>0</v>
      </c>
      <c r="AZ31" s="154">
        <v>0</v>
      </c>
      <c r="BA31" s="154">
        <v>0</v>
      </c>
      <c r="BB31" s="154">
        <v>15000</v>
      </c>
      <c r="BC31" s="165">
        <v>0</v>
      </c>
      <c r="BD31" s="165">
        <v>0</v>
      </c>
      <c r="BE31" s="165">
        <v>15000</v>
      </c>
      <c r="BF31" s="153">
        <v>0</v>
      </c>
      <c r="BG31" s="249">
        <v>69850</v>
      </c>
      <c r="BH31" s="196">
        <v>2.5000000000000001E-2</v>
      </c>
      <c r="BI31" s="196">
        <v>2.5000000000000001E-2</v>
      </c>
      <c r="BJ31" s="153">
        <v>0</v>
      </c>
      <c r="BK31" s="153">
        <v>0</v>
      </c>
      <c r="BL31" s="153">
        <v>0</v>
      </c>
      <c r="BM31" s="153">
        <v>14268.292682926831</v>
      </c>
      <c r="BN31" s="153">
        <v>487804.87804878055</v>
      </c>
      <c r="BO31" s="5">
        <v>135074.5157317541</v>
      </c>
      <c r="BP31" s="5"/>
      <c r="BQ31" s="5">
        <v>175000</v>
      </c>
      <c r="BR31" s="5">
        <v>151062.63531047103</v>
      </c>
      <c r="BS31" s="5">
        <v>0</v>
      </c>
      <c r="BT31" s="5">
        <v>0</v>
      </c>
      <c r="BU31" s="5">
        <v>175000</v>
      </c>
      <c r="BV31" s="5">
        <v>8750.07</v>
      </c>
      <c r="BW31" s="5">
        <v>0</v>
      </c>
      <c r="BY31" s="5">
        <f>InitialSpend</f>
        <v>70000</v>
      </c>
      <c r="BZ31" s="5">
        <f>CentrelinkPmt</f>
        <v>2308.3619178082195</v>
      </c>
      <c r="CA31" s="5">
        <f>PensPmts</f>
        <v>43941.568082191778</v>
      </c>
      <c r="CB31" s="5">
        <f t="shared" ref="CB31:CB72" si="0">BB31</f>
        <v>15000</v>
      </c>
      <c r="CC31" s="5">
        <f>Annuity</f>
        <v>8750.07</v>
      </c>
      <c r="CD31" s="5"/>
      <c r="CE31" s="5">
        <f>BJ31+BO31+BL31+BK31+NSCash+IF(LEFT(IsVoluntary,1)="V",VoluntaryCommutationValue,DeathCommutationValue)</f>
        <v>773942.02909100568</v>
      </c>
      <c r="CF31" s="5"/>
      <c r="CG31" s="5"/>
      <c r="CI31" s="46">
        <v>100000</v>
      </c>
      <c r="CJ31" s="46">
        <v>25109.467475538157</v>
      </c>
      <c r="CK31" s="5">
        <v>100000</v>
      </c>
      <c r="CL31" s="46">
        <v>0</v>
      </c>
      <c r="CM31" s="142">
        <v>1</v>
      </c>
      <c r="CN31" s="203">
        <v>0.04</v>
      </c>
      <c r="CO31" s="152">
        <v>5.1933334022760388E-2</v>
      </c>
      <c r="CP31" s="152">
        <v>5.1933334022760388E-2</v>
      </c>
      <c r="CQ31" s="152">
        <v>1.1933334022760391E-2</v>
      </c>
      <c r="CR31" s="250"/>
      <c r="CS31" s="250"/>
      <c r="CT31" s="250"/>
      <c r="CU31" s="250"/>
      <c r="CV31" s="5">
        <v>86321.505891697729</v>
      </c>
      <c r="CW31" s="5">
        <v>100000</v>
      </c>
      <c r="CX31" s="5">
        <v>100000</v>
      </c>
      <c r="CY31" s="5">
        <v>5431.8305268875611</v>
      </c>
      <c r="CZ31" s="5">
        <v>0</v>
      </c>
      <c r="DA31" s="5">
        <v>5000.04</v>
      </c>
      <c r="DB31" s="5">
        <v>0</v>
      </c>
      <c r="DC31" s="5">
        <v>100000</v>
      </c>
      <c r="DD31" s="5">
        <v>100000</v>
      </c>
      <c r="DE31" s="401">
        <v>0</v>
      </c>
      <c r="DF31" s="152"/>
      <c r="DG31" s="152"/>
      <c r="DH31" s="152"/>
      <c r="DI31" s="250"/>
      <c r="DJ31" s="250"/>
      <c r="DK31" s="250"/>
      <c r="DL31" s="250"/>
      <c r="DM31" s="5"/>
      <c r="DN31" s="5"/>
      <c r="DO31" s="5"/>
      <c r="DP31" s="5"/>
      <c r="DQ31" s="5"/>
      <c r="DR31" s="5"/>
      <c r="DS31" s="5"/>
      <c r="DT31" s="5"/>
      <c r="DU31" s="5"/>
      <c r="DV31" s="5"/>
      <c r="DW31" s="152"/>
      <c r="DX31" s="152"/>
      <c r="DY31" s="152"/>
      <c r="DZ31" s="250"/>
      <c r="EA31" s="250"/>
      <c r="EB31" s="250"/>
      <c r="EC31" s="250"/>
      <c r="ED31" s="424"/>
      <c r="EE31" s="5"/>
      <c r="EF31" s="5"/>
      <c r="EG31" s="5"/>
      <c r="EH31" s="5"/>
      <c r="EI31" s="5"/>
      <c r="EJ31" s="5"/>
      <c r="EK31" s="5"/>
      <c r="EL31" s="5"/>
      <c r="EM31" s="5"/>
      <c r="EN31" s="142"/>
      <c r="EO31" s="219"/>
      <c r="EP31" s="200"/>
      <c r="EQ31" s="5"/>
      <c r="ER31" s="219"/>
      <c r="ES31" s="200"/>
      <c r="ET31" s="5"/>
      <c r="EU31" s="5"/>
      <c r="EV31" s="5">
        <v>0</v>
      </c>
      <c r="EW31" s="5"/>
      <c r="EX31" s="5"/>
      <c r="EY31" s="5"/>
      <c r="EZ31" s="5"/>
      <c r="FA31" s="5"/>
      <c r="FB31" s="5"/>
      <c r="FC31" s="5"/>
      <c r="FD31" s="142"/>
      <c r="FE31" s="152"/>
      <c r="FF31" s="152"/>
      <c r="FG31" s="5"/>
      <c r="FH31" s="152"/>
      <c r="FI31" s="152"/>
      <c r="FJ31" s="5"/>
      <c r="FK31" s="5"/>
      <c r="FL31" s="5">
        <v>0</v>
      </c>
      <c r="FM31" s="5"/>
      <c r="FN31" s="5"/>
      <c r="FO31" s="5"/>
      <c r="FP31" s="5"/>
      <c r="FQ31" s="5"/>
      <c r="FR31" s="5"/>
      <c r="FS31" s="5"/>
      <c r="FU31" s="45">
        <v>75000</v>
      </c>
      <c r="FV31" s="149">
        <v>18832.100606653621</v>
      </c>
      <c r="FW31" s="123">
        <v>75000</v>
      </c>
      <c r="FX31" s="149">
        <v>0</v>
      </c>
      <c r="FY31" s="142">
        <v>1</v>
      </c>
      <c r="FZ31" s="203">
        <v>0.04</v>
      </c>
      <c r="GA31" s="152">
        <v>5.1933334022760388E-2</v>
      </c>
      <c r="GB31" s="152">
        <v>5.1933334022760388E-2</v>
      </c>
      <c r="GC31" s="152">
        <v>1.1933334022760391E-2</v>
      </c>
      <c r="GD31" s="250"/>
      <c r="GE31" s="250"/>
      <c r="GF31" s="250"/>
      <c r="GG31" s="250"/>
      <c r="GH31" s="123">
        <v>64741.129418773293</v>
      </c>
      <c r="GI31" s="123">
        <v>75000</v>
      </c>
      <c r="GJ31" s="5">
        <v>75000</v>
      </c>
      <c r="GK31" s="123">
        <v>4073.8728951656708</v>
      </c>
      <c r="GL31" s="123">
        <v>0</v>
      </c>
      <c r="GM31" s="146">
        <v>3750.03</v>
      </c>
      <c r="GN31" s="5">
        <v>0</v>
      </c>
      <c r="GO31" s="5">
        <v>75000</v>
      </c>
      <c r="GP31" s="5">
        <v>75000</v>
      </c>
      <c r="GQ31" s="5">
        <v>0</v>
      </c>
      <c r="GR31" s="152"/>
      <c r="GS31" s="152"/>
      <c r="GT31" s="152"/>
      <c r="GU31" s="250"/>
      <c r="GV31" s="250"/>
      <c r="GW31" s="250"/>
      <c r="GX31" s="250"/>
      <c r="GY31" s="146"/>
      <c r="GZ31" s="123"/>
      <c r="HA31" s="5"/>
      <c r="HB31" s="123"/>
      <c r="HC31" s="123"/>
      <c r="HD31" s="123"/>
      <c r="HE31" s="5"/>
      <c r="HF31" s="5"/>
      <c r="HG31" s="5"/>
      <c r="HH31" s="5"/>
      <c r="HI31" s="152"/>
      <c r="HJ31" s="152"/>
      <c r="HK31" s="152"/>
      <c r="HL31" s="250"/>
      <c r="HM31" s="250"/>
      <c r="HN31" s="250"/>
      <c r="HO31" s="250"/>
      <c r="HP31" s="146"/>
      <c r="HQ31" s="123"/>
      <c r="HR31" s="5"/>
      <c r="HS31" s="123"/>
      <c r="HT31" s="123"/>
      <c r="HU31" s="123"/>
      <c r="HV31" s="5"/>
      <c r="HW31" s="5"/>
      <c r="HX31" s="5"/>
      <c r="HY31" s="5"/>
      <c r="HZ31" s="142"/>
      <c r="IA31" s="200"/>
      <c r="IB31" s="200"/>
      <c r="IC31" s="123"/>
      <c r="ID31" s="200"/>
      <c r="IE31" s="200"/>
      <c r="IF31" s="123"/>
      <c r="IG31" s="123"/>
      <c r="IH31" s="123">
        <v>0</v>
      </c>
      <c r="II31" s="123"/>
      <c r="IJ31" s="123"/>
      <c r="IK31" s="123"/>
      <c r="IL31" s="5"/>
      <c r="IM31" s="5"/>
      <c r="IN31" s="5"/>
      <c r="IO31" s="5"/>
      <c r="IP31" s="142"/>
      <c r="IQ31" s="200"/>
      <c r="IR31" s="200"/>
      <c r="IS31" s="123"/>
      <c r="IT31" s="200"/>
      <c r="IU31" s="200"/>
      <c r="IV31" s="123"/>
      <c r="IW31" s="123"/>
      <c r="IX31" s="123">
        <v>0</v>
      </c>
      <c r="IY31" s="123"/>
      <c r="IZ31" s="123"/>
      <c r="JA31" s="123"/>
      <c r="JB31" s="5"/>
      <c r="JC31" s="5"/>
      <c r="JD31" s="5"/>
      <c r="JE31" s="5"/>
    </row>
    <row r="32" spans="1:265" s="46" customFormat="1">
      <c r="A32" s="86">
        <v>2</v>
      </c>
      <c r="B32" s="117">
        <v>487804.87804878055</v>
      </c>
      <c r="C32" s="117">
        <v>135074.5157317541</v>
      </c>
      <c r="D32" s="117">
        <v>77185.437561002342</v>
      </c>
      <c r="E32" s="117">
        <v>57889.078170751753</v>
      </c>
      <c r="F32" s="29">
        <v>1</v>
      </c>
      <c r="G32" s="29">
        <v>1</v>
      </c>
      <c r="H32" s="126">
        <v>43032</v>
      </c>
      <c r="I32" s="68">
        <v>1.0249999999999999</v>
      </c>
      <c r="J32" s="125">
        <v>1.0249999999999999</v>
      </c>
      <c r="K32" s="117">
        <v>70000</v>
      </c>
      <c r="L32" s="147">
        <v>0</v>
      </c>
      <c r="M32" s="147">
        <v>14634.146341463416</v>
      </c>
      <c r="N32" s="147">
        <v>0</v>
      </c>
      <c r="O32" s="127">
        <v>44918.64390243902</v>
      </c>
      <c r="P32" s="147">
        <v>8536.6536585365866</v>
      </c>
      <c r="Q32" s="147">
        <v>0</v>
      </c>
      <c r="R32" s="319">
        <v>1910.5560975609756</v>
      </c>
      <c r="S32" s="46">
        <v>622879.39378053462</v>
      </c>
      <c r="T32" s="54">
        <v>4.3368086899420177E-19</v>
      </c>
      <c r="U32" s="152">
        <v>0</v>
      </c>
      <c r="V32" s="152">
        <v>1.7500000000000002E-2</v>
      </c>
      <c r="W32" s="152">
        <v>3.2500000000000001E-2</v>
      </c>
      <c r="X32" s="5">
        <v>6500</v>
      </c>
      <c r="Y32" s="5">
        <v>6500</v>
      </c>
      <c r="Z32" s="5">
        <v>0</v>
      </c>
      <c r="AA32" s="5">
        <v>0</v>
      </c>
      <c r="AB32" s="5">
        <v>0</v>
      </c>
      <c r="AC32" s="46">
        <v>19019.580297867375</v>
      </c>
      <c r="AD32" s="46">
        <v>0</v>
      </c>
      <c r="AE32" s="46">
        <v>19019.580297867375</v>
      </c>
      <c r="AF32" s="46">
        <v>28655.165948627291</v>
      </c>
      <c r="AG32" s="46">
        <v>798605.53678340954</v>
      </c>
      <c r="AH32" s="46">
        <v>1910.5560975609756</v>
      </c>
      <c r="AI32" s="46">
        <v>373253.60972067941</v>
      </c>
      <c r="AJ32" s="300">
        <v>1203</v>
      </c>
      <c r="AK32" s="300">
        <v>1121.8984615384616</v>
      </c>
      <c r="AL32" s="300">
        <v>1203</v>
      </c>
      <c r="AM32" s="300">
        <v>98.2</v>
      </c>
      <c r="AN32" s="300">
        <v>20.682926829268293</v>
      </c>
      <c r="AO32" s="300">
        <v>1321.8829268292684</v>
      </c>
      <c r="AP32" s="300">
        <v>34368.956097560978</v>
      </c>
      <c r="AQ32" s="300">
        <v>1910.5560975609756</v>
      </c>
      <c r="AR32" s="304">
        <v>2955.4621587281767</v>
      </c>
      <c r="AS32" s="130">
        <v>2.6243902439024396E-2</v>
      </c>
      <c r="AT32" s="5">
        <v>0</v>
      </c>
      <c r="AU32" s="127">
        <v>0</v>
      </c>
      <c r="AV32" s="304">
        <v>2955.4621587281767</v>
      </c>
      <c r="AW32" s="154">
        <v>0</v>
      </c>
      <c r="AX32" s="154">
        <v>14634.146341463416</v>
      </c>
      <c r="AY32" s="154">
        <v>0</v>
      </c>
      <c r="AZ32" s="154">
        <v>0</v>
      </c>
      <c r="BA32" s="154">
        <v>0</v>
      </c>
      <c r="BB32" s="154">
        <v>14634.146341463416</v>
      </c>
      <c r="BC32" s="146">
        <v>0</v>
      </c>
      <c r="BD32" s="146">
        <v>0</v>
      </c>
      <c r="BE32" s="146">
        <v>15000</v>
      </c>
      <c r="BF32" s="5">
        <v>0</v>
      </c>
      <c r="BG32" s="250">
        <v>71596.25</v>
      </c>
      <c r="BH32" s="152">
        <v>2.5000000000000001E-2</v>
      </c>
      <c r="BI32" s="152">
        <v>2.5000000000000001E-2</v>
      </c>
      <c r="BJ32" s="5">
        <v>0</v>
      </c>
      <c r="BK32" s="5">
        <v>0</v>
      </c>
      <c r="BL32" s="5">
        <v>0</v>
      </c>
      <c r="BM32" s="5">
        <v>13572.278405710887</v>
      </c>
      <c r="BN32" s="5">
        <v>475907.19809637131</v>
      </c>
      <c r="BO32" s="5">
        <v>93111.333988043261</v>
      </c>
      <c r="BP32" s="5"/>
      <c r="BQ32" s="5">
        <v>167886.17886178865</v>
      </c>
      <c r="BR32" s="5">
        <v>146495.36742283724</v>
      </c>
      <c r="BS32" s="5">
        <v>0</v>
      </c>
      <c r="BT32" s="5">
        <v>0</v>
      </c>
      <c r="BU32" s="5">
        <v>161457.85031994808</v>
      </c>
      <c r="BV32" s="5">
        <v>8536.6536585365866</v>
      </c>
      <c r="BW32" s="5">
        <v>0</v>
      </c>
      <c r="BY32" s="5">
        <f t="shared" ref="BY32:BY72" si="1">InitialSpend</f>
        <v>70000</v>
      </c>
      <c r="BZ32" s="5">
        <f t="shared" ref="BZ32:BZ49" si="2">R32</f>
        <v>1910.5560975609756</v>
      </c>
      <c r="CA32" s="5">
        <f t="shared" ref="CA32:CA72" si="3">O32</f>
        <v>44918.64390243902</v>
      </c>
      <c r="CB32" s="5">
        <f t="shared" si="0"/>
        <v>14634.146341463416</v>
      </c>
      <c r="CC32" s="5">
        <f t="shared" ref="CC32:CC63" si="4">P32</f>
        <v>8536.6536585365866</v>
      </c>
      <c r="CD32" s="5"/>
      <c r="CE32" s="5">
        <f t="shared" ref="CE32:CE72" si="5">BJ32+BO32+BL32+BK32+BN32+IF(LEFT(IsVoluntary,1)="V",BR32,BQ32)</f>
        <v>715513.8995072518</v>
      </c>
      <c r="CF32" s="5"/>
      <c r="CG32" s="5"/>
      <c r="CI32" s="46">
        <v>77185.437561002342</v>
      </c>
      <c r="CJ32" s="46">
        <v>25668.211250872413</v>
      </c>
      <c r="CK32" s="5">
        <v>77185.437561002342</v>
      </c>
      <c r="CL32" s="46">
        <v>0</v>
      </c>
      <c r="CM32" s="142">
        <v>1</v>
      </c>
      <c r="CN32" s="203">
        <v>0.04</v>
      </c>
      <c r="CO32" s="152">
        <v>5.1933334022760388E-2</v>
      </c>
      <c r="CP32" s="152">
        <v>5.1933334022760388E-2</v>
      </c>
      <c r="CQ32" s="152">
        <v>1.1933334022760391E-2</v>
      </c>
      <c r="CR32" s="250"/>
      <c r="CS32" s="250"/>
      <c r="CT32" s="250"/>
      <c r="CU32" s="250"/>
      <c r="CV32" s="46">
        <v>83711.638527335555</v>
      </c>
      <c r="CW32" s="46">
        <v>95934.959349593511</v>
      </c>
      <c r="CX32" s="5">
        <v>92261.628754256046</v>
      </c>
      <c r="CY32" s="5">
        <v>5299.34685550006</v>
      </c>
      <c r="CZ32" s="5">
        <v>0</v>
      </c>
      <c r="DA32" s="46">
        <v>4878.0878048780487</v>
      </c>
      <c r="DB32" s="46">
        <v>0</v>
      </c>
      <c r="DC32" s="46">
        <v>94999.96</v>
      </c>
      <c r="DD32" s="46">
        <v>92682.887804878061</v>
      </c>
      <c r="DE32" s="46">
        <v>0</v>
      </c>
      <c r="DF32" s="54"/>
      <c r="DG32" s="152"/>
      <c r="DH32" s="152"/>
      <c r="DI32" s="250"/>
      <c r="DJ32" s="250"/>
      <c r="DK32" s="250"/>
      <c r="DL32" s="250"/>
      <c r="DO32" s="5"/>
      <c r="DP32" s="5"/>
      <c r="DQ32" s="5"/>
      <c r="DW32" s="54"/>
      <c r="DX32" s="152"/>
      <c r="DY32" s="152"/>
      <c r="DZ32" s="250"/>
      <c r="EA32" s="250"/>
      <c r="EB32" s="250"/>
      <c r="EC32" s="250"/>
      <c r="ED32" s="425"/>
      <c r="EF32" s="5"/>
      <c r="EG32" s="5"/>
      <c r="EH32" s="5"/>
      <c r="EN32" s="142"/>
      <c r="EO32" s="200"/>
      <c r="EP32" s="200"/>
      <c r="ER32" s="220"/>
      <c r="ES32" s="89"/>
      <c r="EU32" s="5"/>
      <c r="EV32" s="5">
        <v>0</v>
      </c>
      <c r="EX32" s="5"/>
      <c r="FD32" s="63"/>
      <c r="FE32" s="54"/>
      <c r="FF32" s="152"/>
      <c r="FH32" s="54"/>
      <c r="FI32" s="54"/>
      <c r="FK32" s="5"/>
      <c r="FL32" s="46">
        <v>0</v>
      </c>
      <c r="FM32" s="5"/>
      <c r="FN32" s="5"/>
      <c r="FU32" s="45">
        <v>57889.078170751753</v>
      </c>
      <c r="FV32" s="46">
        <v>19251.158438154311</v>
      </c>
      <c r="FW32" s="5">
        <v>57889.078170751753</v>
      </c>
      <c r="FX32" s="46">
        <v>0</v>
      </c>
      <c r="FY32" s="142">
        <v>1</v>
      </c>
      <c r="FZ32" s="203">
        <v>0.04</v>
      </c>
      <c r="GA32" s="152">
        <v>5.1933334022760388E-2</v>
      </c>
      <c r="GB32" s="152">
        <v>5.1933334022760388E-2</v>
      </c>
      <c r="GC32" s="152">
        <v>1.1933334022760391E-2</v>
      </c>
      <c r="GD32" s="250"/>
      <c r="GE32" s="250"/>
      <c r="GF32" s="250"/>
      <c r="GG32" s="250"/>
      <c r="GH32" s="46">
        <v>62783.72889550167</v>
      </c>
      <c r="GI32" s="46">
        <v>71951.219512195123</v>
      </c>
      <c r="GJ32" s="5">
        <v>69196.221565692031</v>
      </c>
      <c r="GK32" s="5">
        <v>3974.510141625045</v>
      </c>
      <c r="GL32" s="5">
        <v>0</v>
      </c>
      <c r="GM32" s="45">
        <v>3658.565853658537</v>
      </c>
      <c r="GN32" s="46">
        <v>0</v>
      </c>
      <c r="GO32" s="46">
        <v>71249.97</v>
      </c>
      <c r="GP32" s="46">
        <v>69512.165853658546</v>
      </c>
      <c r="GQ32" s="46">
        <v>0</v>
      </c>
      <c r="GR32" s="54"/>
      <c r="GS32" s="152"/>
      <c r="GT32" s="152"/>
      <c r="GU32" s="250"/>
      <c r="GV32" s="250"/>
      <c r="GW32" s="250"/>
      <c r="GX32" s="250"/>
      <c r="HA32" s="5"/>
      <c r="HC32" s="5"/>
      <c r="HI32" s="54"/>
      <c r="HJ32" s="152"/>
      <c r="HK32" s="152"/>
      <c r="HL32" s="250"/>
      <c r="HM32" s="250"/>
      <c r="HN32" s="250"/>
      <c r="HO32" s="250"/>
      <c r="HR32" s="5"/>
      <c r="HT32" s="5"/>
      <c r="HZ32" s="142"/>
      <c r="IA32" s="200"/>
      <c r="IB32" s="200"/>
      <c r="ID32" s="89"/>
      <c r="IE32" s="89"/>
      <c r="IG32" s="5"/>
      <c r="IH32" s="5">
        <v>0</v>
      </c>
      <c r="II32" s="5"/>
      <c r="IJ32" s="5"/>
      <c r="IP32" s="63"/>
      <c r="IQ32" s="89"/>
      <c r="IR32" s="200"/>
      <c r="IT32" s="89"/>
      <c r="IU32" s="89"/>
      <c r="IW32" s="5"/>
      <c r="IX32" s="46">
        <v>0</v>
      </c>
      <c r="IY32" s="5"/>
      <c r="IZ32" s="5"/>
    </row>
    <row r="33" spans="1:260" s="46" customFormat="1">
      <c r="A33" s="86">
        <v>3</v>
      </c>
      <c r="B33" s="117">
        <v>475907.19809637131</v>
      </c>
      <c r="C33" s="117">
        <v>93111.333988043261</v>
      </c>
      <c r="D33" s="117">
        <v>53206.061829403174</v>
      </c>
      <c r="E33" s="117">
        <v>39904.546372052369</v>
      </c>
      <c r="F33" s="29">
        <v>1</v>
      </c>
      <c r="G33" s="29">
        <v>1</v>
      </c>
      <c r="H33" s="126">
        <v>43397</v>
      </c>
      <c r="I33" s="68">
        <v>1.0506249999999999</v>
      </c>
      <c r="J33" s="125">
        <v>1.0506249999999999</v>
      </c>
      <c r="K33" s="117">
        <v>70000</v>
      </c>
      <c r="L33" s="147">
        <v>0</v>
      </c>
      <c r="M33" s="147">
        <v>14277.215942891138</v>
      </c>
      <c r="N33" s="147">
        <v>0</v>
      </c>
      <c r="O33" s="127">
        <v>40923.501368233192</v>
      </c>
      <c r="P33" s="147">
        <v>8328.4425936942298</v>
      </c>
      <c r="Q33" s="147">
        <v>0</v>
      </c>
      <c r="R33" s="5">
        <v>6470.8400951814401</v>
      </c>
      <c r="S33" s="46">
        <v>569017.80629782681</v>
      </c>
      <c r="T33" s="54">
        <v>4.3368086899420177E-19</v>
      </c>
      <c r="U33" s="152">
        <v>0</v>
      </c>
      <c r="V33" s="152">
        <v>1.7500000000000002E-2</v>
      </c>
      <c r="W33" s="152">
        <v>3.2500000000000001E-2</v>
      </c>
      <c r="X33" s="5">
        <v>6500</v>
      </c>
      <c r="Y33" s="5">
        <v>6500</v>
      </c>
      <c r="Z33" s="5">
        <v>0</v>
      </c>
      <c r="AA33" s="5">
        <v>0</v>
      </c>
      <c r="AB33" s="5">
        <v>0</v>
      </c>
      <c r="AC33" s="46">
        <v>17269.078704679374</v>
      </c>
      <c r="AD33" s="46">
        <v>0</v>
      </c>
      <c r="AE33" s="46">
        <v>17269.078704679374</v>
      </c>
      <c r="AF33" s="46">
        <v>29517.300742841755</v>
      </c>
      <c r="AG33" s="46">
        <v>731062.27331116993</v>
      </c>
      <c r="AH33" s="46">
        <v>6470.8400951814401</v>
      </c>
      <c r="AI33" s="46">
        <v>373253.60972067941</v>
      </c>
      <c r="AJ33" s="300">
        <v>1203</v>
      </c>
      <c r="AK33" s="300">
        <v>1121.8984615384616</v>
      </c>
      <c r="AL33" s="300">
        <v>1203</v>
      </c>
      <c r="AM33" s="300">
        <v>98.2</v>
      </c>
      <c r="AN33" s="300">
        <v>20.178465199286141</v>
      </c>
      <c r="AO33" s="300">
        <v>1321.3784651992862</v>
      </c>
      <c r="AP33" s="300">
        <v>34355.84009518144</v>
      </c>
      <c r="AQ33" s="300">
        <v>1897.4400951814396</v>
      </c>
      <c r="AR33" s="304">
        <v>1906.608576464027</v>
      </c>
      <c r="AS33" s="130">
        <v>2.6243902439024396E-2</v>
      </c>
      <c r="AT33" s="5">
        <v>0</v>
      </c>
      <c r="AU33" s="127">
        <v>0</v>
      </c>
      <c r="AV33" s="304">
        <v>1906.608576464027</v>
      </c>
      <c r="AW33" s="154">
        <v>0</v>
      </c>
      <c r="AX33" s="154">
        <v>14277.215942891138</v>
      </c>
      <c r="AY33" s="154">
        <v>0</v>
      </c>
      <c r="AZ33" s="154">
        <v>0</v>
      </c>
      <c r="BA33" s="154">
        <v>0</v>
      </c>
      <c r="BB33" s="154">
        <v>14277.215942891138</v>
      </c>
      <c r="BC33" s="146">
        <v>0</v>
      </c>
      <c r="BD33" s="146">
        <v>0</v>
      </c>
      <c r="BE33" s="146">
        <v>15000.000000000002</v>
      </c>
      <c r="BF33" s="5">
        <v>0</v>
      </c>
      <c r="BG33" s="250">
        <v>73386.15625</v>
      </c>
      <c r="BH33" s="152">
        <v>2.5000000000000001E-2</v>
      </c>
      <c r="BI33" s="152">
        <v>2.5000000000000001E-2</v>
      </c>
      <c r="BJ33" s="5">
        <v>0</v>
      </c>
      <c r="BK33" s="5">
        <v>0</v>
      </c>
      <c r="BL33" s="5">
        <v>0</v>
      </c>
      <c r="BM33" s="5">
        <v>12910.216044456698</v>
      </c>
      <c r="BN33" s="5">
        <v>464299.70545987447</v>
      </c>
      <c r="BO33" s="5">
        <v>54094.4411962741</v>
      </c>
      <c r="BQ33" s="5">
        <v>161015.26868927228</v>
      </c>
      <c r="BR33" s="5">
        <v>142016.29913508083</v>
      </c>
      <c r="BS33" s="5">
        <v>0</v>
      </c>
      <c r="BT33" s="5">
        <v>0</v>
      </c>
      <c r="BU33" s="5">
        <v>148472.18860763218</v>
      </c>
      <c r="BV33" s="5">
        <v>8328.4425936942298</v>
      </c>
      <c r="BW33" s="5">
        <v>0</v>
      </c>
      <c r="BY33" s="5">
        <f t="shared" si="1"/>
        <v>70000</v>
      </c>
      <c r="BZ33" s="5">
        <f t="shared" si="2"/>
        <v>6470.8400951814401</v>
      </c>
      <c r="CA33" s="5">
        <f t="shared" si="3"/>
        <v>40923.501368233192</v>
      </c>
      <c r="CB33" s="5">
        <f t="shared" si="0"/>
        <v>14277.215942891138</v>
      </c>
      <c r="CC33" s="5">
        <f t="shared" si="4"/>
        <v>8328.4425936942298</v>
      </c>
      <c r="CD33" s="5"/>
      <c r="CE33" s="5">
        <f t="shared" si="5"/>
        <v>660410.44579122937</v>
      </c>
      <c r="CF33" s="5"/>
      <c r="CG33" s="5"/>
      <c r="CI33" s="46">
        <v>53206.061829403174</v>
      </c>
      <c r="CJ33" s="46">
        <v>23385.161016174843</v>
      </c>
      <c r="CK33" s="5">
        <v>53206.061829403174</v>
      </c>
      <c r="CL33" s="46">
        <v>0</v>
      </c>
      <c r="CM33" s="142">
        <v>1</v>
      </c>
      <c r="CN33" s="203">
        <v>0.04</v>
      </c>
      <c r="CO33" s="152">
        <v>5.1933334022760388E-2</v>
      </c>
      <c r="CP33" s="152">
        <v>5.1933334022760388E-2</v>
      </c>
      <c r="CQ33" s="152">
        <v>1.1933334022760391E-2</v>
      </c>
      <c r="CR33" s="250"/>
      <c r="CS33" s="250"/>
      <c r="CT33" s="250"/>
      <c r="CU33" s="250"/>
      <c r="CV33" s="46">
        <v>81152.170934331909</v>
      </c>
      <c r="CW33" s="46">
        <v>92008.724965298446</v>
      </c>
      <c r="CX33" s="5">
        <v>84841.250632932672</v>
      </c>
      <c r="CY33" s="5">
        <v>5170.09449317079</v>
      </c>
      <c r="CZ33" s="5">
        <v>0</v>
      </c>
      <c r="DA33" s="46">
        <v>4759.1100535395599</v>
      </c>
      <c r="DB33" s="46">
        <v>0</v>
      </c>
      <c r="DC33" s="46">
        <v>89999.920000000013</v>
      </c>
      <c r="DD33" s="46">
        <v>85663.219512195137</v>
      </c>
      <c r="DE33" s="46">
        <v>0</v>
      </c>
      <c r="DF33" s="54"/>
      <c r="DG33" s="152"/>
      <c r="DH33" s="152"/>
      <c r="DI33" s="250"/>
      <c r="DJ33" s="250"/>
      <c r="DK33" s="250"/>
      <c r="DL33" s="250"/>
      <c r="DO33" s="5"/>
      <c r="DP33" s="5"/>
      <c r="DQ33" s="5"/>
      <c r="DW33" s="54"/>
      <c r="DX33" s="152"/>
      <c r="DY33" s="152"/>
      <c r="DZ33" s="250"/>
      <c r="EA33" s="250"/>
      <c r="EB33" s="250"/>
      <c r="EC33" s="250"/>
      <c r="ED33" s="425"/>
      <c r="EF33" s="5"/>
      <c r="EG33" s="5"/>
      <c r="EH33" s="5"/>
      <c r="EN33" s="142"/>
      <c r="EO33" s="200"/>
      <c r="EP33" s="200"/>
      <c r="ER33" s="220"/>
      <c r="ES33" s="89"/>
      <c r="EU33" s="5"/>
      <c r="EV33" s="5">
        <v>0</v>
      </c>
      <c r="EX33" s="5"/>
      <c r="FD33" s="63"/>
      <c r="FE33" s="54"/>
      <c r="FF33" s="152"/>
      <c r="FH33" s="54"/>
      <c r="FI33" s="54"/>
      <c r="FK33" s="5"/>
      <c r="FL33" s="46">
        <v>0</v>
      </c>
      <c r="FM33" s="5"/>
      <c r="FN33" s="5"/>
      <c r="FU33" s="45">
        <v>39904.546372052369</v>
      </c>
      <c r="FV33" s="46">
        <v>17538.870762131126</v>
      </c>
      <c r="FW33" s="5">
        <v>39904.546372052369</v>
      </c>
      <c r="FX33" s="46">
        <v>0</v>
      </c>
      <c r="FY33" s="142">
        <v>1</v>
      </c>
      <c r="FZ33" s="203">
        <v>0.04</v>
      </c>
      <c r="GA33" s="152">
        <v>5.1933334022760388E-2</v>
      </c>
      <c r="GB33" s="152">
        <v>5.1933334022760388E-2</v>
      </c>
      <c r="GC33" s="152">
        <v>1.1933334022760391E-2</v>
      </c>
      <c r="GD33" s="250"/>
      <c r="GE33" s="250"/>
      <c r="GF33" s="250"/>
      <c r="GG33" s="250"/>
      <c r="GH33" s="46">
        <v>60864.128200748935</v>
      </c>
      <c r="GI33" s="46">
        <v>69006.543723973824</v>
      </c>
      <c r="GJ33" s="5">
        <v>63630.937974699504</v>
      </c>
      <c r="GK33" s="5">
        <v>3877.5708698780927</v>
      </c>
      <c r="GL33" s="5">
        <v>0</v>
      </c>
      <c r="GM33" s="45">
        <v>3569.3325401546704</v>
      </c>
      <c r="GN33" s="46">
        <v>0</v>
      </c>
      <c r="GO33" s="46">
        <v>67499.94</v>
      </c>
      <c r="GP33" s="46">
        <v>64247.414634146349</v>
      </c>
      <c r="GQ33" s="46">
        <v>0</v>
      </c>
      <c r="GR33" s="54"/>
      <c r="GS33" s="152"/>
      <c r="GT33" s="152"/>
      <c r="GU33" s="250"/>
      <c r="GV33" s="250"/>
      <c r="GW33" s="250"/>
      <c r="GX33" s="250"/>
      <c r="HA33" s="5"/>
      <c r="HC33" s="5"/>
      <c r="HI33" s="54"/>
      <c r="HJ33" s="152"/>
      <c r="HK33" s="152"/>
      <c r="HL33" s="250"/>
      <c r="HM33" s="250"/>
      <c r="HN33" s="250"/>
      <c r="HO33" s="250"/>
      <c r="HR33" s="5"/>
      <c r="HT33" s="5"/>
      <c r="HZ33" s="142"/>
      <c r="IA33" s="200"/>
      <c r="IB33" s="200"/>
      <c r="ID33" s="89"/>
      <c r="IE33" s="89"/>
      <c r="IG33" s="5"/>
      <c r="IH33" s="5">
        <v>0</v>
      </c>
      <c r="II33" s="5"/>
      <c r="IJ33" s="5"/>
      <c r="IP33" s="63"/>
      <c r="IQ33" s="89"/>
      <c r="IR33" s="200"/>
      <c r="IT33" s="89"/>
      <c r="IU33" s="89"/>
      <c r="IW33" s="5"/>
      <c r="IX33" s="46">
        <v>0</v>
      </c>
      <c r="IY33" s="5"/>
      <c r="IZ33" s="5"/>
    </row>
    <row r="34" spans="1:260" s="46" customFormat="1">
      <c r="A34" s="86">
        <v>4</v>
      </c>
      <c r="B34" s="117">
        <v>464299.70545987447</v>
      </c>
      <c r="C34" s="117">
        <v>54094.4411962741</v>
      </c>
      <c r="D34" s="117">
        <v>30910.391428350631</v>
      </c>
      <c r="E34" s="117">
        <v>23182.793571262966</v>
      </c>
      <c r="F34" s="29">
        <v>1</v>
      </c>
      <c r="G34" s="29">
        <v>1</v>
      </c>
      <c r="H34" s="126">
        <v>43762</v>
      </c>
      <c r="I34" s="68">
        <v>1.0768906249999999</v>
      </c>
      <c r="J34" s="125">
        <v>1.0768906249999999</v>
      </c>
      <c r="K34" s="117">
        <v>70000</v>
      </c>
      <c r="L34" s="147">
        <v>0</v>
      </c>
      <c r="M34" s="147">
        <v>13928.991163796234</v>
      </c>
      <c r="N34" s="147">
        <v>0</v>
      </c>
      <c r="O34" s="127">
        <v>36534.654993398231</v>
      </c>
      <c r="P34" s="147">
        <v>8125.3098475065653</v>
      </c>
      <c r="Q34" s="147">
        <v>0</v>
      </c>
      <c r="R34" s="5">
        <v>11411.043995298969</v>
      </c>
      <c r="S34" s="46">
        <v>518392.89045948809</v>
      </c>
      <c r="T34" s="54">
        <v>4.3368086899420177E-19</v>
      </c>
      <c r="U34" s="152">
        <v>0</v>
      </c>
      <c r="V34" s="152">
        <v>1.7500000000000002E-2</v>
      </c>
      <c r="W34" s="152">
        <v>3.2500000000000001E-2</v>
      </c>
      <c r="X34" s="5">
        <v>6500</v>
      </c>
      <c r="Y34" s="5">
        <v>6500</v>
      </c>
      <c r="Z34" s="5">
        <v>0</v>
      </c>
      <c r="AA34" s="5">
        <v>0</v>
      </c>
      <c r="AB34" s="5">
        <v>0</v>
      </c>
      <c r="AC34" s="46">
        <v>15623.768939933363</v>
      </c>
      <c r="AD34" s="46">
        <v>0</v>
      </c>
      <c r="AE34" s="46">
        <v>15623.768939933363</v>
      </c>
      <c r="AF34" s="46">
        <v>30327.159525332288</v>
      </c>
      <c r="AG34" s="46">
        <v>667327.03162061144</v>
      </c>
      <c r="AH34" s="46">
        <v>11411.043995298969</v>
      </c>
      <c r="AI34" s="46">
        <v>373253.60972067941</v>
      </c>
      <c r="AJ34" s="300">
        <v>1203</v>
      </c>
      <c r="AK34" s="300">
        <v>1121.8984615384616</v>
      </c>
      <c r="AL34" s="300">
        <v>1203</v>
      </c>
      <c r="AM34" s="300">
        <v>98.2</v>
      </c>
      <c r="AN34" s="300">
        <v>19.686307511498676</v>
      </c>
      <c r="AO34" s="300">
        <v>1320.8863075114989</v>
      </c>
      <c r="AP34" s="300">
        <v>34343.043995298969</v>
      </c>
      <c r="AQ34" s="300">
        <v>1884.6439952989654</v>
      </c>
      <c r="AR34" s="304">
        <v>940.24327660348024</v>
      </c>
      <c r="AS34" s="130">
        <v>2.6243902439024396E-2</v>
      </c>
      <c r="AT34" s="5">
        <v>0</v>
      </c>
      <c r="AU34" s="127">
        <v>0</v>
      </c>
      <c r="AV34" s="304">
        <v>940.24327660348024</v>
      </c>
      <c r="AW34" s="154">
        <v>0</v>
      </c>
      <c r="AX34" s="154">
        <v>13928.991163796234</v>
      </c>
      <c r="AY34" s="154">
        <v>0</v>
      </c>
      <c r="AZ34" s="154">
        <v>0</v>
      </c>
      <c r="BA34" s="154">
        <v>0</v>
      </c>
      <c r="BB34" s="154">
        <v>13928.991163796234</v>
      </c>
      <c r="BC34" s="146">
        <v>0</v>
      </c>
      <c r="BD34" s="146">
        <v>0</v>
      </c>
      <c r="BE34" s="146">
        <v>15000.000000000002</v>
      </c>
      <c r="BF34" s="5">
        <v>0</v>
      </c>
      <c r="BG34" s="250">
        <v>75220.810156249994</v>
      </c>
      <c r="BH34" s="152">
        <v>2.5000000000000001E-2</v>
      </c>
      <c r="BI34" s="152">
        <v>2.5000000000000001E-2</v>
      </c>
      <c r="BJ34" s="5">
        <v>0</v>
      </c>
      <c r="BK34" s="5">
        <v>0</v>
      </c>
      <c r="BL34" s="5">
        <v>0</v>
      </c>
      <c r="BM34" s="5">
        <v>12280.449408141734</v>
      </c>
      <c r="BN34" s="5">
        <v>452975.32239987759</v>
      </c>
      <c r="BO34" s="5">
        <v>18500.029479479352</v>
      </c>
      <c r="BP34" s="5"/>
      <c r="BQ34" s="5">
        <v>154379.65206540824</v>
      </c>
      <c r="BR34" s="5">
        <v>136462.60746553433</v>
      </c>
      <c r="BS34" s="5">
        <v>0</v>
      </c>
      <c r="BT34" s="5">
        <v>0</v>
      </c>
      <c r="BU34" s="5">
        <v>136023.92511666662</v>
      </c>
      <c r="BV34" s="5">
        <v>8125.3098475065653</v>
      </c>
      <c r="BW34" s="5">
        <v>0</v>
      </c>
      <c r="BY34" s="5">
        <f t="shared" si="1"/>
        <v>70000</v>
      </c>
      <c r="BZ34" s="5">
        <f t="shared" si="2"/>
        <v>11411.043995298969</v>
      </c>
      <c r="CA34" s="5">
        <f t="shared" si="3"/>
        <v>36534.654993398231</v>
      </c>
      <c r="CB34" s="5">
        <f t="shared" si="0"/>
        <v>13928.991163796234</v>
      </c>
      <c r="CC34" s="5">
        <f t="shared" si="4"/>
        <v>8125.3098475065653</v>
      </c>
      <c r="CD34" s="5"/>
      <c r="CE34" s="5">
        <f t="shared" si="5"/>
        <v>607937.95934489125</v>
      </c>
      <c r="CF34" s="5"/>
      <c r="CG34" s="5"/>
      <c r="CI34" s="46">
        <v>30910.391428350631</v>
      </c>
      <c r="CJ34" s="46">
        <v>20876.750996216524</v>
      </c>
      <c r="CK34" s="5">
        <v>30910.391428350631</v>
      </c>
      <c r="CL34" s="46">
        <v>0</v>
      </c>
      <c r="CM34" s="142">
        <v>1</v>
      </c>
      <c r="CN34" s="203">
        <v>0.04</v>
      </c>
      <c r="CO34" s="152">
        <v>5.2941667269915345E-2</v>
      </c>
      <c r="CP34" s="152">
        <v>5.2941667269915345E-2</v>
      </c>
      <c r="CQ34" s="152">
        <v>1.2941667269915342E-2</v>
      </c>
      <c r="CR34" s="250"/>
      <c r="CS34" s="250"/>
      <c r="CT34" s="250"/>
      <c r="CU34" s="250"/>
      <c r="CV34" s="46">
        <v>77978.632837448182</v>
      </c>
      <c r="CW34" s="46">
        <v>88216.944037376132</v>
      </c>
      <c r="CX34" s="5">
        <v>77727.957209523782</v>
      </c>
      <c r="CY34" s="5">
        <v>5043.9946274836975</v>
      </c>
      <c r="CZ34" s="5">
        <v>0</v>
      </c>
      <c r="DA34" s="46">
        <v>4643.0341985751802</v>
      </c>
      <c r="DB34" s="46">
        <v>0</v>
      </c>
      <c r="DC34" s="46">
        <v>84999.880000000019</v>
      </c>
      <c r="DD34" s="46">
        <v>78930.838496249358</v>
      </c>
      <c r="DE34" s="46">
        <v>0</v>
      </c>
      <c r="DF34" s="54"/>
      <c r="DG34" s="152"/>
      <c r="DH34" s="152"/>
      <c r="DI34" s="250"/>
      <c r="DJ34" s="250"/>
      <c r="DK34" s="250"/>
      <c r="DL34" s="250"/>
      <c r="DO34" s="5"/>
      <c r="DP34" s="5"/>
      <c r="DQ34" s="5"/>
      <c r="DW34" s="54"/>
      <c r="DX34" s="152"/>
      <c r="DY34" s="152"/>
      <c r="DZ34" s="250"/>
      <c r="EA34" s="250"/>
      <c r="EB34" s="250"/>
      <c r="EC34" s="250"/>
      <c r="ED34" s="425"/>
      <c r="EF34" s="5"/>
      <c r="EG34" s="5"/>
      <c r="EH34" s="5"/>
      <c r="EN34" s="142"/>
      <c r="EO34" s="200"/>
      <c r="EP34" s="200"/>
      <c r="ER34" s="220"/>
      <c r="ES34" s="89"/>
      <c r="EU34" s="5"/>
      <c r="EV34" s="5">
        <v>0</v>
      </c>
      <c r="EX34" s="5"/>
      <c r="FD34" s="63"/>
      <c r="FE34" s="54"/>
      <c r="FF34" s="152"/>
      <c r="FH34" s="54"/>
      <c r="FI34" s="54"/>
      <c r="FK34" s="5"/>
      <c r="FL34" s="46">
        <v>0</v>
      </c>
      <c r="FM34" s="5"/>
      <c r="FN34" s="5"/>
      <c r="FU34" s="45">
        <v>23182.793571262966</v>
      </c>
      <c r="FV34" s="46">
        <v>15657.563247162387</v>
      </c>
      <c r="FW34" s="5">
        <v>23182.793571262966</v>
      </c>
      <c r="FX34" s="46">
        <v>0</v>
      </c>
      <c r="FY34" s="142">
        <v>1</v>
      </c>
      <c r="FZ34" s="203">
        <v>0.04</v>
      </c>
      <c r="GA34" s="152">
        <v>5.2941667269915345E-2</v>
      </c>
      <c r="GB34" s="152">
        <v>5.2941667269915345E-2</v>
      </c>
      <c r="GC34" s="152">
        <v>1.2941667269915342E-2</v>
      </c>
      <c r="GD34" s="250"/>
      <c r="GE34" s="250"/>
      <c r="GF34" s="250"/>
      <c r="GG34" s="250"/>
      <c r="GH34" s="46">
        <v>58483.974628086136</v>
      </c>
      <c r="GI34" s="46">
        <v>66162.708028032095</v>
      </c>
      <c r="GJ34" s="5">
        <v>58295.96790714284</v>
      </c>
      <c r="GK34" s="5">
        <v>3782.9959706127734</v>
      </c>
      <c r="GL34" s="5">
        <v>0</v>
      </c>
      <c r="GM34" s="45">
        <v>3482.2756489313856</v>
      </c>
      <c r="GN34" s="46">
        <v>0</v>
      </c>
      <c r="GO34" s="46">
        <v>63749.91</v>
      </c>
      <c r="GP34" s="46">
        <v>59198.128872187008</v>
      </c>
      <c r="GQ34" s="46">
        <v>0</v>
      </c>
      <c r="GR34" s="54"/>
      <c r="GS34" s="152"/>
      <c r="GT34" s="152"/>
      <c r="GU34" s="250"/>
      <c r="GV34" s="250"/>
      <c r="GW34" s="250"/>
      <c r="GX34" s="250"/>
      <c r="HA34" s="5"/>
      <c r="HC34" s="5"/>
      <c r="HI34" s="54"/>
      <c r="HJ34" s="152"/>
      <c r="HK34" s="152"/>
      <c r="HL34" s="250"/>
      <c r="HM34" s="250"/>
      <c r="HN34" s="250"/>
      <c r="HO34" s="250"/>
      <c r="HR34" s="5"/>
      <c r="HT34" s="5"/>
      <c r="HZ34" s="142"/>
      <c r="IA34" s="200"/>
      <c r="IB34" s="200"/>
      <c r="ID34" s="89"/>
      <c r="IE34" s="89"/>
      <c r="IG34" s="5"/>
      <c r="IH34" s="5">
        <v>0</v>
      </c>
      <c r="II34" s="5"/>
      <c r="IJ34" s="5"/>
      <c r="IP34" s="63"/>
      <c r="IQ34" s="89"/>
      <c r="IR34" s="200"/>
      <c r="IT34" s="89"/>
      <c r="IU34" s="89"/>
      <c r="IW34" s="5"/>
      <c r="IX34" s="46">
        <v>0</v>
      </c>
      <c r="IY34" s="5"/>
      <c r="IZ34" s="5"/>
    </row>
    <row r="35" spans="1:260" s="46" customFormat="1">
      <c r="A35" s="86">
        <v>5</v>
      </c>
      <c r="B35" s="117">
        <v>452975.32239987759</v>
      </c>
      <c r="C35" s="117">
        <v>18500.029479479352</v>
      </c>
      <c r="D35" s="117">
        <v>10570.922304478952</v>
      </c>
      <c r="E35" s="117">
        <v>7928.1917283592138</v>
      </c>
      <c r="F35" s="29">
        <v>1</v>
      </c>
      <c r="G35" s="29">
        <v>1</v>
      </c>
      <c r="H35" s="126">
        <v>44128</v>
      </c>
      <c r="I35" s="68">
        <v>1.103812890625</v>
      </c>
      <c r="J35" s="125">
        <v>1.103812890625</v>
      </c>
      <c r="K35" s="117">
        <v>70000.000705432292</v>
      </c>
      <c r="L35" s="147">
        <v>0</v>
      </c>
      <c r="M35" s="147">
        <v>13589.259671996328</v>
      </c>
      <c r="N35" s="147">
        <v>13944.02</v>
      </c>
      <c r="O35" s="127">
        <v>18500.029479479352</v>
      </c>
      <c r="P35" s="147">
        <v>7927.1315585429911</v>
      </c>
      <c r="Q35" s="147">
        <v>0</v>
      </c>
      <c r="R35" s="5">
        <v>16039.559995413627</v>
      </c>
      <c r="S35" s="46">
        <v>471474.43643271574</v>
      </c>
      <c r="T35" s="54">
        <v>4.3368086899420177E-19</v>
      </c>
      <c r="U35" s="152">
        <v>0</v>
      </c>
      <c r="V35" s="152">
        <v>1.7500000000000002E-2</v>
      </c>
      <c r="W35" s="152">
        <v>3.2500000000000001E-2</v>
      </c>
      <c r="X35" s="5">
        <v>6500</v>
      </c>
      <c r="Y35" s="5">
        <v>6500</v>
      </c>
      <c r="Z35" s="5">
        <v>0</v>
      </c>
      <c r="AA35" s="5">
        <v>0</v>
      </c>
      <c r="AB35" s="5">
        <v>0</v>
      </c>
      <c r="AC35" s="46">
        <v>14098.919184063263</v>
      </c>
      <c r="AD35" s="46">
        <v>0</v>
      </c>
      <c r="AE35" s="46">
        <v>14098.919184063263</v>
      </c>
      <c r="AF35" s="46">
        <v>31077.100403381995</v>
      </c>
      <c r="AG35" s="46">
        <v>607849.45610287716</v>
      </c>
      <c r="AH35" s="46">
        <v>16039.559995413627</v>
      </c>
      <c r="AI35" s="46">
        <v>373253.60972067941</v>
      </c>
      <c r="AJ35" s="300">
        <v>1203</v>
      </c>
      <c r="AK35" s="300">
        <v>1121.8984615384616</v>
      </c>
      <c r="AL35" s="300">
        <v>1203</v>
      </c>
      <c r="AM35" s="300">
        <v>98.2</v>
      </c>
      <c r="AN35" s="300">
        <v>19.206153669754801</v>
      </c>
      <c r="AO35" s="300">
        <v>1320.406153669755</v>
      </c>
      <c r="AP35" s="300">
        <v>34330.559995413627</v>
      </c>
      <c r="AQ35" s="300">
        <v>1872.1599954136248</v>
      </c>
      <c r="AR35" s="304"/>
      <c r="AS35" s="130">
        <v>2.6243902439024396E-2</v>
      </c>
      <c r="AT35" s="5">
        <v>0</v>
      </c>
      <c r="AU35" s="127">
        <v>0</v>
      </c>
      <c r="AV35" s="304">
        <v>0</v>
      </c>
      <c r="AW35" s="154">
        <v>0</v>
      </c>
      <c r="AX35" s="154">
        <v>13589.259671996328</v>
      </c>
      <c r="AY35" s="154">
        <v>0</v>
      </c>
      <c r="AZ35" s="154">
        <v>0</v>
      </c>
      <c r="BA35" s="154">
        <v>0</v>
      </c>
      <c r="BB35" s="154">
        <v>13589.259671996328</v>
      </c>
      <c r="BC35" s="146">
        <v>0</v>
      </c>
      <c r="BD35" s="146">
        <v>0</v>
      </c>
      <c r="BE35" s="146">
        <v>15000.000000000005</v>
      </c>
      <c r="BF35" s="5">
        <v>0</v>
      </c>
      <c r="BG35" s="250">
        <v>77101.330410156253</v>
      </c>
      <c r="BH35" s="152">
        <v>2.5000000000000001E-2</v>
      </c>
      <c r="BI35" s="152">
        <v>2.5000000000000001E-2</v>
      </c>
      <c r="BJ35" s="5">
        <v>0</v>
      </c>
      <c r="BK35" s="5">
        <v>0</v>
      </c>
      <c r="BL35" s="5">
        <v>0</v>
      </c>
      <c r="BM35" s="5">
        <v>11681.403095549453</v>
      </c>
      <c r="BN35" s="5">
        <v>428323.22185353911</v>
      </c>
      <c r="BO35" s="5">
        <v>0</v>
      </c>
      <c r="BP35" s="5"/>
      <c r="BQ35" s="5">
        <v>147971.93865062663</v>
      </c>
      <c r="BR35" s="5">
        <v>131210.03046502947</v>
      </c>
      <c r="BS35" s="5">
        <v>0</v>
      </c>
      <c r="BT35" s="5">
        <v>0</v>
      </c>
      <c r="BU35" s="5">
        <v>124094.57026201965</v>
      </c>
      <c r="BV35" s="5">
        <v>7927.1315585429911</v>
      </c>
      <c r="BW35" s="5">
        <v>0</v>
      </c>
      <c r="BY35" s="5">
        <f t="shared" si="1"/>
        <v>70000</v>
      </c>
      <c r="BZ35" s="5">
        <f t="shared" si="2"/>
        <v>16039.559995413627</v>
      </c>
      <c r="CA35" s="5">
        <f t="shared" si="3"/>
        <v>18500.029479479352</v>
      </c>
      <c r="CB35" s="5">
        <f t="shared" si="0"/>
        <v>13589.259671996328</v>
      </c>
      <c r="CC35" s="5">
        <f t="shared" si="4"/>
        <v>7927.1315585429911</v>
      </c>
      <c r="CD35" s="5"/>
      <c r="CE35" s="5">
        <f t="shared" si="5"/>
        <v>559533.25231856853</v>
      </c>
      <c r="CF35" s="5"/>
      <c r="CG35" s="5"/>
      <c r="CI35" s="46">
        <v>10570.922304478952</v>
      </c>
      <c r="CJ35" s="46">
        <v>10570.922304478952</v>
      </c>
      <c r="CK35" s="5">
        <v>10570.922304478952</v>
      </c>
      <c r="CL35" s="46">
        <v>0</v>
      </c>
      <c r="CM35" s="142">
        <v>1</v>
      </c>
      <c r="CN35" s="203">
        <v>0.04</v>
      </c>
      <c r="CO35" s="152">
        <v>5.3950000517070294E-2</v>
      </c>
      <c r="CP35" s="152">
        <v>5.3950000517070294E-2</v>
      </c>
      <c r="CQ35" s="152">
        <v>1.3950000517070293E-2</v>
      </c>
      <c r="CR35" s="250"/>
      <c r="CS35" s="250"/>
      <c r="CT35" s="250"/>
      <c r="CU35" s="250"/>
      <c r="CV35" s="46">
        <v>74977.16026573113</v>
      </c>
      <c r="CW35" s="46">
        <v>84555.393514643787</v>
      </c>
      <c r="CX35" s="5">
        <v>70911.183006868378</v>
      </c>
      <c r="CY35" s="5">
        <v>4920.9703682767777</v>
      </c>
      <c r="CZ35" s="5">
        <v>0</v>
      </c>
      <c r="DA35" s="46">
        <v>4529.7894620245661</v>
      </c>
      <c r="DB35" s="46">
        <v>0</v>
      </c>
      <c r="DC35" s="46">
        <v>79999.840000000026</v>
      </c>
      <c r="DD35" s="46">
        <v>72475.906631877238</v>
      </c>
      <c r="DE35" s="46">
        <v>0</v>
      </c>
      <c r="DF35" s="54"/>
      <c r="DG35" s="152"/>
      <c r="DH35" s="152"/>
      <c r="DI35" s="250"/>
      <c r="DJ35" s="250"/>
      <c r="DK35" s="250"/>
      <c r="DL35" s="250"/>
      <c r="DO35" s="5"/>
      <c r="DP35" s="5"/>
      <c r="DQ35" s="5"/>
      <c r="DW35" s="54"/>
      <c r="DX35" s="152"/>
      <c r="DY35" s="152"/>
      <c r="DZ35" s="250"/>
      <c r="EA35" s="250"/>
      <c r="EB35" s="250"/>
      <c r="EC35" s="250"/>
      <c r="ED35" s="425"/>
      <c r="EF35" s="5"/>
      <c r="EG35" s="5"/>
      <c r="EH35" s="5"/>
      <c r="EN35" s="142"/>
      <c r="EO35" s="200"/>
      <c r="EP35" s="200"/>
      <c r="ER35" s="220"/>
      <c r="ES35" s="89"/>
      <c r="EU35" s="5"/>
      <c r="EV35" s="5">
        <v>0</v>
      </c>
      <c r="EX35" s="5"/>
      <c r="FD35" s="63"/>
      <c r="FE35" s="54"/>
      <c r="FF35" s="152"/>
      <c r="FH35" s="54"/>
      <c r="FI35" s="54"/>
      <c r="FK35" s="5"/>
      <c r="FL35" s="46">
        <v>0</v>
      </c>
      <c r="FM35" s="5"/>
      <c r="FN35" s="5"/>
      <c r="FU35" s="45">
        <v>7928.1917283592138</v>
      </c>
      <c r="FV35" s="46">
        <v>7928.1917283592138</v>
      </c>
      <c r="FW35" s="5">
        <v>7928.1917283592138</v>
      </c>
      <c r="FX35" s="46">
        <v>0</v>
      </c>
      <c r="FY35" s="142">
        <v>1</v>
      </c>
      <c r="FZ35" s="203">
        <v>0.04</v>
      </c>
      <c r="GA35" s="152">
        <v>5.3950000517070294E-2</v>
      </c>
      <c r="GB35" s="152">
        <v>5.3950000517070294E-2</v>
      </c>
      <c r="GC35" s="152">
        <v>1.3950000517070293E-2</v>
      </c>
      <c r="GD35" s="250"/>
      <c r="GE35" s="250"/>
      <c r="GF35" s="250"/>
      <c r="GG35" s="250"/>
      <c r="GH35" s="46">
        <v>56232.870199298355</v>
      </c>
      <c r="GI35" s="46">
        <v>63416.545135982837</v>
      </c>
      <c r="GJ35" s="5">
        <v>53183.387255151276</v>
      </c>
      <c r="GK35" s="5">
        <v>3690.7277762075837</v>
      </c>
      <c r="GL35" s="5">
        <v>0</v>
      </c>
      <c r="GM35" s="45">
        <v>3397.342096518425</v>
      </c>
      <c r="GN35" s="46">
        <v>0</v>
      </c>
      <c r="GO35" s="46">
        <v>59999.880000000005</v>
      </c>
      <c r="GP35" s="46">
        <v>54356.929973907922</v>
      </c>
      <c r="GQ35" s="46">
        <v>0</v>
      </c>
      <c r="GR35" s="54"/>
      <c r="GS35" s="152"/>
      <c r="GT35" s="152"/>
      <c r="GU35" s="250"/>
      <c r="GV35" s="250"/>
      <c r="GW35" s="250"/>
      <c r="GX35" s="250"/>
      <c r="HA35" s="5"/>
      <c r="HC35" s="5"/>
      <c r="HI35" s="54"/>
      <c r="HJ35" s="152"/>
      <c r="HK35" s="152"/>
      <c r="HL35" s="250"/>
      <c r="HM35" s="250"/>
      <c r="HN35" s="250"/>
      <c r="HO35" s="250"/>
      <c r="HR35" s="5"/>
      <c r="HT35" s="5"/>
      <c r="HZ35" s="142"/>
      <c r="IA35" s="200"/>
      <c r="IB35" s="200"/>
      <c r="ID35" s="89"/>
      <c r="IE35" s="89"/>
      <c r="IF35" s="5"/>
      <c r="IG35" s="5"/>
      <c r="IH35" s="5">
        <v>0</v>
      </c>
      <c r="II35" s="5"/>
      <c r="IJ35" s="5"/>
      <c r="IP35" s="63"/>
      <c r="IQ35" s="89"/>
      <c r="IR35" s="200"/>
      <c r="IT35" s="89"/>
      <c r="IU35" s="89"/>
      <c r="IV35" s="5"/>
      <c r="IW35" s="5"/>
      <c r="IX35" s="46">
        <v>0</v>
      </c>
      <c r="IY35" s="5"/>
      <c r="IZ35" s="5"/>
    </row>
    <row r="36" spans="1:260" s="46" customFormat="1">
      <c r="A36" s="86">
        <v>6</v>
      </c>
      <c r="B36" s="117">
        <v>428323.22185353911</v>
      </c>
      <c r="C36" s="117">
        <v>0</v>
      </c>
      <c r="D36" s="117">
        <v>0</v>
      </c>
      <c r="E36" s="117">
        <v>0</v>
      </c>
      <c r="F36" s="29">
        <v>1</v>
      </c>
      <c r="G36" s="29">
        <v>1</v>
      </c>
      <c r="H36" s="126">
        <v>44493</v>
      </c>
      <c r="I36" s="68">
        <v>1.1314082128906251</v>
      </c>
      <c r="J36" s="125">
        <v>1.1314082128906251</v>
      </c>
      <c r="K36" s="117">
        <v>70000.00402531994</v>
      </c>
      <c r="L36" s="147">
        <v>0</v>
      </c>
      <c r="M36" s="147">
        <v>12849.696655606172</v>
      </c>
      <c r="N36" s="147">
        <v>29060.14</v>
      </c>
      <c r="O36" s="127">
        <v>0</v>
      </c>
      <c r="P36" s="147">
        <v>7733.7868863834055</v>
      </c>
      <c r="Q36" s="147">
        <v>0</v>
      </c>
      <c r="R36" s="5">
        <v>20356.380483330366</v>
      </c>
      <c r="S36" s="46">
        <v>428323.22185353911</v>
      </c>
      <c r="T36" s="54">
        <v>4.3368086899420177E-19</v>
      </c>
      <c r="U36" s="152">
        <v>0</v>
      </c>
      <c r="V36" s="152">
        <v>1.7500000000000002E-2</v>
      </c>
      <c r="W36" s="152">
        <v>3.2500000000000001E-2</v>
      </c>
      <c r="X36" s="5">
        <v>6500</v>
      </c>
      <c r="Y36" s="5">
        <v>6500</v>
      </c>
      <c r="Z36" s="5">
        <v>0</v>
      </c>
      <c r="AA36" s="5">
        <v>0</v>
      </c>
      <c r="AB36" s="5">
        <v>0</v>
      </c>
      <c r="AC36" s="46">
        <v>12696.504710240022</v>
      </c>
      <c r="AD36" s="46">
        <v>0</v>
      </c>
      <c r="AE36" s="46">
        <v>12696.504710240022</v>
      </c>
      <c r="AF36" s="46">
        <v>31766.128128210355</v>
      </c>
      <c r="AG36" s="46">
        <v>552670.841649123</v>
      </c>
      <c r="AH36" s="46">
        <v>20356.380483330366</v>
      </c>
      <c r="AI36" s="46">
        <v>373253.60972067941</v>
      </c>
      <c r="AJ36" s="300">
        <v>1203</v>
      </c>
      <c r="AK36" s="300">
        <v>1121.8984615384616</v>
      </c>
      <c r="AL36" s="300">
        <v>1203</v>
      </c>
      <c r="AM36" s="300">
        <v>98.2</v>
      </c>
      <c r="AN36" s="300">
        <v>18.737710897321755</v>
      </c>
      <c r="AO36" s="300">
        <v>1319.9377108973217</v>
      </c>
      <c r="AP36" s="300">
        <v>34318.380483330366</v>
      </c>
      <c r="AQ36" s="300">
        <v>1859.9804833303656</v>
      </c>
      <c r="AR36" s="304"/>
      <c r="AS36" s="130">
        <v>2.6243902439024396E-2</v>
      </c>
      <c r="AT36" s="5">
        <v>0</v>
      </c>
      <c r="AU36" s="127"/>
      <c r="AV36" s="304">
        <v>0</v>
      </c>
      <c r="AW36" s="154">
        <v>0</v>
      </c>
      <c r="AX36" s="154">
        <v>12849.696655606172</v>
      </c>
      <c r="AY36" s="154">
        <v>0</v>
      </c>
      <c r="AZ36" s="154">
        <v>0</v>
      </c>
      <c r="BA36" s="154">
        <v>0</v>
      </c>
      <c r="BB36" s="154">
        <v>12849.696655606172</v>
      </c>
      <c r="BC36" s="146">
        <v>0</v>
      </c>
      <c r="BD36" s="146">
        <v>0</v>
      </c>
      <c r="BE36" s="146">
        <v>14538.252329306022</v>
      </c>
      <c r="BF36" s="5">
        <v>0</v>
      </c>
      <c r="BG36" s="250">
        <v>79028.863670410166</v>
      </c>
      <c r="BH36" s="152">
        <v>2.5000000000000001E-2</v>
      </c>
      <c r="BI36" s="152">
        <v>2.5000000000000001E-2</v>
      </c>
      <c r="BJ36" s="5">
        <v>0</v>
      </c>
      <c r="BK36" s="5">
        <v>0</v>
      </c>
      <c r="BL36" s="5">
        <v>0</v>
      </c>
      <c r="BM36" s="5">
        <v>11111.57855430314</v>
      </c>
      <c r="BN36" s="5">
        <v>389524.95790589182</v>
      </c>
      <c r="BO36" s="5">
        <v>0</v>
      </c>
      <c r="BP36" s="5"/>
      <c r="BQ36" s="5">
        <v>141784.95863735999</v>
      </c>
      <c r="BR36" s="5">
        <v>126246.25838073682</v>
      </c>
      <c r="BS36" s="5">
        <v>0</v>
      </c>
      <c r="BT36" s="5">
        <v>0</v>
      </c>
      <c r="BU36" s="5">
        <v>112666.21670003442</v>
      </c>
      <c r="BV36" s="5">
        <v>7733.7868863834055</v>
      </c>
      <c r="BW36" s="5">
        <v>0</v>
      </c>
      <c r="BY36" s="5">
        <f t="shared" si="1"/>
        <v>70000</v>
      </c>
      <c r="BZ36" s="5">
        <f t="shared" si="2"/>
        <v>20356.380483330366</v>
      </c>
      <c r="CA36" s="5">
        <f t="shared" si="3"/>
        <v>0</v>
      </c>
      <c r="CB36" s="5">
        <f t="shared" si="0"/>
        <v>12849.696655606172</v>
      </c>
      <c r="CC36" s="5">
        <f t="shared" si="4"/>
        <v>7733.7868863834055</v>
      </c>
      <c r="CD36" s="5"/>
      <c r="CE36" s="5">
        <f t="shared" si="5"/>
        <v>515771.21628662862</v>
      </c>
      <c r="CF36" s="5"/>
      <c r="CG36" s="5"/>
      <c r="CI36" s="46">
        <v>0</v>
      </c>
      <c r="CJ36" s="46">
        <v>0</v>
      </c>
      <c r="CK36" s="5">
        <v>0</v>
      </c>
      <c r="CL36" s="46">
        <v>0</v>
      </c>
      <c r="CM36" s="142">
        <v>1</v>
      </c>
      <c r="CN36" s="203">
        <v>0.04</v>
      </c>
      <c r="CO36" s="152">
        <v>5.4958333764225244E-2</v>
      </c>
      <c r="CP36" s="152">
        <v>5.4958333764225244E-2</v>
      </c>
      <c r="CQ36" s="152">
        <v>1.4958333764225245E-2</v>
      </c>
      <c r="CR36" s="250"/>
      <c r="CS36" s="250"/>
      <c r="CT36" s="250"/>
      <c r="CU36" s="250"/>
      <c r="CV36" s="46">
        <v>72140.719074706751</v>
      </c>
      <c r="CW36" s="46">
        <v>81019.976364205708</v>
      </c>
      <c r="CX36" s="5">
        <v>64380.695257162522</v>
      </c>
      <c r="CY36" s="5">
        <v>4800.9467007578314</v>
      </c>
      <c r="CZ36" s="5">
        <v>0</v>
      </c>
      <c r="DA36" s="46">
        <v>4419.3067922190885</v>
      </c>
      <c r="DB36" s="46">
        <v>0</v>
      </c>
      <c r="DC36" s="46">
        <v>74999.800000000032</v>
      </c>
      <c r="DD36" s="46">
        <v>66288.894799856265</v>
      </c>
      <c r="DE36" s="46">
        <v>0</v>
      </c>
      <c r="DF36" s="54"/>
      <c r="DG36" s="152"/>
      <c r="DH36" s="152"/>
      <c r="DI36" s="250"/>
      <c r="DJ36" s="250"/>
      <c r="DK36" s="250"/>
      <c r="DL36" s="250"/>
      <c r="DO36" s="5"/>
      <c r="DP36" s="5"/>
      <c r="DQ36" s="5"/>
      <c r="DW36" s="54"/>
      <c r="DX36" s="152"/>
      <c r="DY36" s="152"/>
      <c r="DZ36" s="250"/>
      <c r="EA36" s="250"/>
      <c r="EB36" s="250"/>
      <c r="EC36" s="250"/>
      <c r="ED36" s="425"/>
      <c r="EF36" s="5"/>
      <c r="EG36" s="5"/>
      <c r="EH36" s="5"/>
      <c r="EN36" s="142"/>
      <c r="EO36" s="200"/>
      <c r="EP36" s="200"/>
      <c r="ER36" s="220"/>
      <c r="ES36" s="89"/>
      <c r="EU36" s="5"/>
      <c r="EV36" s="5">
        <v>0</v>
      </c>
      <c r="EX36" s="5"/>
      <c r="FD36" s="63"/>
      <c r="FE36" s="54"/>
      <c r="FF36" s="152"/>
      <c r="FH36" s="54"/>
      <c r="FI36" s="54"/>
      <c r="FK36" s="5"/>
      <c r="FL36" s="46">
        <v>0</v>
      </c>
      <c r="FM36" s="5"/>
      <c r="FN36" s="5"/>
      <c r="FU36" s="45">
        <v>0</v>
      </c>
      <c r="FV36" s="46">
        <v>0</v>
      </c>
      <c r="FW36" s="5">
        <v>0</v>
      </c>
      <c r="FX36" s="46">
        <v>0</v>
      </c>
      <c r="FY36" s="142">
        <v>1</v>
      </c>
      <c r="FZ36" s="203">
        <v>0.04</v>
      </c>
      <c r="GA36" s="152">
        <v>5.4958333764225244E-2</v>
      </c>
      <c r="GB36" s="152">
        <v>5.4958333764225244E-2</v>
      </c>
      <c r="GC36" s="152">
        <v>1.4958333764225245E-2</v>
      </c>
      <c r="GD36" s="250"/>
      <c r="GE36" s="250"/>
      <c r="GF36" s="250"/>
      <c r="GG36" s="250"/>
      <c r="GH36" s="46">
        <v>54105.53930603007</v>
      </c>
      <c r="GI36" s="46">
        <v>60764.982273154281</v>
      </c>
      <c r="GJ36" s="5">
        <v>48285.52144287189</v>
      </c>
      <c r="GK36" s="5">
        <v>3600.710025568374</v>
      </c>
      <c r="GL36" s="5">
        <v>0</v>
      </c>
      <c r="GM36" s="45">
        <v>3314.4800941643171</v>
      </c>
      <c r="GN36" s="46">
        <v>0</v>
      </c>
      <c r="GO36" s="46">
        <v>56249.850000000006</v>
      </c>
      <c r="GP36" s="46">
        <v>49716.671099892184</v>
      </c>
      <c r="GQ36" s="46">
        <v>0</v>
      </c>
      <c r="GR36" s="54"/>
      <c r="GS36" s="152"/>
      <c r="GT36" s="152"/>
      <c r="GU36" s="250"/>
      <c r="GV36" s="250"/>
      <c r="GW36" s="250"/>
      <c r="GX36" s="250"/>
      <c r="HA36" s="5"/>
      <c r="HC36" s="5"/>
      <c r="HI36" s="54"/>
      <c r="HJ36" s="152"/>
      <c r="HK36" s="152"/>
      <c r="HL36" s="250"/>
      <c r="HM36" s="250"/>
      <c r="HN36" s="250"/>
      <c r="HO36" s="250"/>
      <c r="HR36" s="5"/>
      <c r="HT36" s="5"/>
      <c r="HZ36" s="142"/>
      <c r="IA36" s="200"/>
      <c r="IB36" s="200"/>
      <c r="ID36" s="89"/>
      <c r="IE36" s="89"/>
      <c r="IF36" s="5"/>
      <c r="IG36" s="5"/>
      <c r="IH36" s="5">
        <v>0</v>
      </c>
      <c r="II36" s="5"/>
      <c r="IJ36" s="5"/>
      <c r="IP36" s="63"/>
      <c r="IQ36" s="89"/>
      <c r="IR36" s="200"/>
      <c r="IT36" s="89"/>
      <c r="IU36" s="89"/>
      <c r="IV36" s="5"/>
      <c r="IW36" s="5"/>
      <c r="IX36" s="46">
        <v>0</v>
      </c>
      <c r="IY36" s="5"/>
      <c r="IZ36" s="5"/>
    </row>
    <row r="37" spans="1:260" s="46" customFormat="1">
      <c r="A37" s="86">
        <v>7</v>
      </c>
      <c r="B37" s="117">
        <v>389524.95790589182</v>
      </c>
      <c r="C37" s="117">
        <v>0</v>
      </c>
      <c r="D37" s="117">
        <v>0</v>
      </c>
      <c r="E37" s="117">
        <v>0</v>
      </c>
      <c r="F37" s="29">
        <v>1</v>
      </c>
      <c r="G37" s="29">
        <v>1</v>
      </c>
      <c r="H37" s="126">
        <v>44858</v>
      </c>
      <c r="I37" s="68">
        <v>1.1596934182128906</v>
      </c>
      <c r="J37" s="125">
        <v>1.1596934182128906</v>
      </c>
      <c r="K37" s="117">
        <v>70000.00470762921</v>
      </c>
      <c r="L37" s="147">
        <v>0</v>
      </c>
      <c r="M37" s="147">
        <v>11685.748737176755</v>
      </c>
      <c r="N37" s="147">
        <v>26524.6</v>
      </c>
      <c r="O37" s="127">
        <v>0</v>
      </c>
      <c r="P37" s="147">
        <v>7545.1579379350296</v>
      </c>
      <c r="Q37" s="147">
        <v>0</v>
      </c>
      <c r="R37" s="5">
        <v>24244.498032517433</v>
      </c>
      <c r="S37" s="46">
        <v>389524.95790589182</v>
      </c>
      <c r="T37" s="54">
        <v>4.3368086899420177E-19</v>
      </c>
      <c r="U37" s="152">
        <v>0</v>
      </c>
      <c r="V37" s="152">
        <v>1.7500000000000002E-2</v>
      </c>
      <c r="W37" s="152">
        <v>3.2500000000000001E-2</v>
      </c>
      <c r="X37" s="5">
        <v>6500</v>
      </c>
      <c r="Y37" s="5">
        <v>6500</v>
      </c>
      <c r="Z37" s="5">
        <v>0</v>
      </c>
      <c r="AA37" s="5">
        <v>0</v>
      </c>
      <c r="AB37" s="5">
        <v>0</v>
      </c>
      <c r="AC37" s="46">
        <v>11435.561131941484</v>
      </c>
      <c r="AD37" s="46">
        <v>0</v>
      </c>
      <c r="AE37" s="46">
        <v>11435.561131941484</v>
      </c>
      <c r="AF37" s="46">
        <v>32384.717466546692</v>
      </c>
      <c r="AG37" s="46">
        <v>502358.05838576396</v>
      </c>
      <c r="AH37" s="46">
        <v>24244.498032517433</v>
      </c>
      <c r="AI37" s="46">
        <v>373253.60972067941</v>
      </c>
      <c r="AJ37" s="300">
        <v>1203</v>
      </c>
      <c r="AK37" s="300">
        <v>1121.8984615384616</v>
      </c>
      <c r="AL37" s="300">
        <v>1203</v>
      </c>
      <c r="AM37" s="300">
        <v>98.2</v>
      </c>
      <c r="AN37" s="300">
        <v>18.280693558362689</v>
      </c>
      <c r="AO37" s="300">
        <v>1319.4806935583629</v>
      </c>
      <c r="AP37" s="300">
        <v>34306.498032517433</v>
      </c>
      <c r="AQ37" s="300">
        <v>1848.0980325174298</v>
      </c>
      <c r="AR37" s="304"/>
      <c r="AS37" s="130">
        <v>2.6243902439024396E-2</v>
      </c>
      <c r="AT37" s="5">
        <v>0</v>
      </c>
      <c r="AU37" s="127"/>
      <c r="AV37" s="304">
        <v>0</v>
      </c>
      <c r="AW37" s="154">
        <v>0</v>
      </c>
      <c r="AX37" s="154">
        <v>11685.748737176755</v>
      </c>
      <c r="AY37" s="154">
        <v>0</v>
      </c>
      <c r="AZ37" s="154">
        <v>0</v>
      </c>
      <c r="BA37" s="154">
        <v>0</v>
      </c>
      <c r="BB37" s="154">
        <v>11685.748737176755</v>
      </c>
      <c r="BC37" s="146">
        <v>0</v>
      </c>
      <c r="BD37" s="146">
        <v>0</v>
      </c>
      <c r="BE37" s="146">
        <v>13551.88589739348</v>
      </c>
      <c r="BF37" s="5">
        <v>0</v>
      </c>
      <c r="BG37" s="250">
        <v>81004.585262170411</v>
      </c>
      <c r="BH37" s="152">
        <v>2.5000000000000001E-2</v>
      </c>
      <c r="BI37" s="152">
        <v>2.5000000000000001E-2</v>
      </c>
      <c r="BJ37" s="5">
        <v>0</v>
      </c>
      <c r="BK37" s="5">
        <v>0</v>
      </c>
      <c r="BL37" s="5">
        <v>0</v>
      </c>
      <c r="BM37" s="5">
        <v>10569.550332142011</v>
      </c>
      <c r="BN37" s="5">
        <v>354146.69063989451</v>
      </c>
      <c r="BO37" s="5">
        <v>0</v>
      </c>
      <c r="BP37" s="5"/>
      <c r="BQ37" s="5">
        <v>135811.75638877944</v>
      </c>
      <c r="BR37" s="5">
        <v>121560.19515731571</v>
      </c>
      <c r="BS37" s="5">
        <v>0</v>
      </c>
      <c r="BT37" s="5">
        <v>0</v>
      </c>
      <c r="BU37" s="5">
        <v>101721.52192556899</v>
      </c>
      <c r="BV37" s="5">
        <v>7545.1579379350296</v>
      </c>
      <c r="BW37" s="5">
        <v>0</v>
      </c>
      <c r="BY37" s="5">
        <f t="shared" si="1"/>
        <v>70000</v>
      </c>
      <c r="BZ37" s="5">
        <f t="shared" si="2"/>
        <v>24244.498032517433</v>
      </c>
      <c r="CA37" s="5">
        <f t="shared" si="3"/>
        <v>0</v>
      </c>
      <c r="CB37" s="5">
        <f t="shared" si="0"/>
        <v>11685.748737176755</v>
      </c>
      <c r="CC37" s="5">
        <f t="shared" si="4"/>
        <v>7545.1579379350296</v>
      </c>
      <c r="CD37" s="5"/>
      <c r="CE37" s="5">
        <f t="shared" si="5"/>
        <v>475706.88579721021</v>
      </c>
      <c r="CF37" s="5"/>
      <c r="CG37" s="5"/>
      <c r="CI37" s="46">
        <v>0</v>
      </c>
      <c r="CJ37" s="46">
        <v>0</v>
      </c>
      <c r="CK37" s="5">
        <v>0</v>
      </c>
      <c r="CL37" s="46">
        <v>0</v>
      </c>
      <c r="CM37" s="142">
        <v>1</v>
      </c>
      <c r="CN37" s="203">
        <v>0.04</v>
      </c>
      <c r="CO37" s="152">
        <v>5.59666670113802E-2</v>
      </c>
      <c r="CP37" s="152">
        <v>5.59666670113802E-2</v>
      </c>
      <c r="CQ37" s="152">
        <v>1.5966667011380196E-2</v>
      </c>
      <c r="CR37" s="250"/>
      <c r="CS37" s="250"/>
      <c r="CT37" s="250"/>
      <c r="CU37" s="250"/>
      <c r="CV37" s="46">
        <v>69462.968661323262</v>
      </c>
      <c r="CW37" s="46">
        <v>77606.717936445391</v>
      </c>
      <c r="CX37" s="5">
        <v>58126.583957467999</v>
      </c>
      <c r="CY37" s="5">
        <v>4683.8504397637389</v>
      </c>
      <c r="CZ37" s="5">
        <v>0</v>
      </c>
      <c r="DA37" s="46">
        <v>4311.5188216771594</v>
      </c>
      <c r="DB37" s="46">
        <v>0</v>
      </c>
      <c r="DC37" s="46">
        <v>69999.760000000038</v>
      </c>
      <c r="DD37" s="46">
        <v>60360.573665987504</v>
      </c>
      <c r="DE37" s="46">
        <v>0</v>
      </c>
      <c r="DF37" s="54"/>
      <c r="DG37" s="152"/>
      <c r="DH37" s="152"/>
      <c r="DI37" s="250"/>
      <c r="DJ37" s="250"/>
      <c r="DK37" s="250"/>
      <c r="DL37" s="250"/>
      <c r="DO37" s="5"/>
      <c r="DP37" s="5"/>
      <c r="DQ37" s="5"/>
      <c r="DW37" s="54"/>
      <c r="DX37" s="152"/>
      <c r="DY37" s="152"/>
      <c r="DZ37" s="250"/>
      <c r="EA37" s="250"/>
      <c r="EB37" s="250"/>
      <c r="EC37" s="250"/>
      <c r="ED37" s="425"/>
      <c r="EF37" s="5"/>
      <c r="EG37" s="5"/>
      <c r="EH37" s="5"/>
      <c r="EN37" s="142"/>
      <c r="EO37" s="200"/>
      <c r="EP37" s="200"/>
      <c r="ER37" s="220"/>
      <c r="ES37" s="89"/>
      <c r="EU37" s="5"/>
      <c r="EV37" s="5">
        <v>0</v>
      </c>
      <c r="EX37" s="5"/>
      <c r="FD37" s="63"/>
      <c r="FE37" s="54"/>
      <c r="FF37" s="54"/>
      <c r="FH37" s="54"/>
      <c r="FI37" s="54"/>
      <c r="FK37" s="5"/>
      <c r="FL37" s="46">
        <v>0</v>
      </c>
      <c r="FM37" s="5"/>
      <c r="FN37" s="5"/>
      <c r="FU37" s="45">
        <v>0</v>
      </c>
      <c r="FV37" s="46">
        <v>0</v>
      </c>
      <c r="FW37" s="5">
        <v>0</v>
      </c>
      <c r="FX37" s="46">
        <v>0</v>
      </c>
      <c r="FY37" s="142">
        <v>1</v>
      </c>
      <c r="FZ37" s="203">
        <v>0.04</v>
      </c>
      <c r="GA37" s="152">
        <v>5.59666670113802E-2</v>
      </c>
      <c r="GB37" s="152">
        <v>5.59666670113802E-2</v>
      </c>
      <c r="GC37" s="152">
        <v>1.5966667011380196E-2</v>
      </c>
      <c r="GD37" s="250"/>
      <c r="GE37" s="250"/>
      <c r="GF37" s="250"/>
      <c r="GG37" s="250"/>
      <c r="GH37" s="46">
        <v>52097.226495992451</v>
      </c>
      <c r="GI37" s="46">
        <v>58205.03845233404</v>
      </c>
      <c r="GJ37" s="5">
        <v>43594.937968100996</v>
      </c>
      <c r="GK37" s="5">
        <v>3512.8878298228042</v>
      </c>
      <c r="GL37" s="5">
        <v>0</v>
      </c>
      <c r="GM37" s="45">
        <v>3233.6391162578702</v>
      </c>
      <c r="GN37" s="46">
        <v>0</v>
      </c>
      <c r="GO37" s="46">
        <v>52499.820000000007</v>
      </c>
      <c r="GP37" s="46">
        <v>45270.430249490608</v>
      </c>
      <c r="GQ37" s="46">
        <v>0</v>
      </c>
      <c r="GR37" s="54"/>
      <c r="GS37" s="152"/>
      <c r="GT37" s="152"/>
      <c r="GU37" s="250"/>
      <c r="GV37" s="250"/>
      <c r="GW37" s="250"/>
      <c r="GX37" s="250"/>
      <c r="HA37" s="5"/>
      <c r="HC37" s="5"/>
      <c r="HI37" s="54"/>
      <c r="HJ37" s="152"/>
      <c r="HK37" s="152"/>
      <c r="HL37" s="250"/>
      <c r="HM37" s="250"/>
      <c r="HN37" s="250"/>
      <c r="HO37" s="250"/>
      <c r="HR37" s="5"/>
      <c r="HT37" s="5"/>
      <c r="HZ37" s="142"/>
      <c r="IA37" s="200"/>
      <c r="IB37" s="200"/>
      <c r="ID37" s="89"/>
      <c r="IE37" s="89"/>
      <c r="IF37" s="5"/>
      <c r="IG37" s="5"/>
      <c r="IH37" s="5">
        <v>0</v>
      </c>
      <c r="II37" s="5"/>
      <c r="IJ37" s="5"/>
      <c r="IP37" s="63"/>
      <c r="IQ37" s="89"/>
      <c r="IR37" s="200"/>
      <c r="IT37" s="89"/>
      <c r="IU37" s="89"/>
      <c r="IV37" s="5"/>
      <c r="IW37" s="5"/>
      <c r="IX37" s="46">
        <v>0</v>
      </c>
      <c r="IY37" s="5"/>
      <c r="IZ37" s="5"/>
    </row>
    <row r="38" spans="1:260" s="46" customFormat="1">
      <c r="A38" s="86">
        <v>8</v>
      </c>
      <c r="B38" s="117">
        <v>354146.69063989451</v>
      </c>
      <c r="C38" s="117">
        <v>0</v>
      </c>
      <c r="D38" s="117">
        <v>0</v>
      </c>
      <c r="E38" s="117">
        <v>0</v>
      </c>
      <c r="F38" s="29">
        <v>1</v>
      </c>
      <c r="G38" s="29">
        <v>1</v>
      </c>
      <c r="H38" s="126">
        <v>45223</v>
      </c>
      <c r="I38" s="68">
        <v>1.1886857536682129</v>
      </c>
      <c r="J38" s="125">
        <v>1.1886857536682129</v>
      </c>
      <c r="K38" s="117">
        <v>69999.995812321184</v>
      </c>
      <c r="L38" s="147">
        <v>0</v>
      </c>
      <c r="M38" s="147">
        <v>10624.400719196836</v>
      </c>
      <c r="N38" s="147">
        <v>24154.560000000001</v>
      </c>
      <c r="O38" s="127">
        <v>0</v>
      </c>
      <c r="P38" s="147">
        <v>7361.1296955463704</v>
      </c>
      <c r="Q38" s="147">
        <v>0</v>
      </c>
      <c r="R38" s="5">
        <v>27859.905397577983</v>
      </c>
      <c r="S38" s="46">
        <v>354146.69063989451</v>
      </c>
      <c r="T38" s="54">
        <v>4.3368086899420177E-19</v>
      </c>
      <c r="U38" s="152">
        <v>0</v>
      </c>
      <c r="V38" s="152">
        <v>1.7500000000000002E-2</v>
      </c>
      <c r="W38" s="152">
        <v>3.2500000000000001E-2</v>
      </c>
      <c r="X38" s="5">
        <v>6500</v>
      </c>
      <c r="Y38" s="5">
        <v>6500</v>
      </c>
      <c r="Z38" s="5">
        <v>0</v>
      </c>
      <c r="AA38" s="5">
        <v>0</v>
      </c>
      <c r="AB38" s="5">
        <v>0</v>
      </c>
      <c r="AC38" s="46">
        <v>10285.767445796571</v>
      </c>
      <c r="AD38" s="46">
        <v>0</v>
      </c>
      <c r="AE38" s="46">
        <v>10285.767445796571</v>
      </c>
      <c r="AF38" s="46">
        <v>32948.021674679694</v>
      </c>
      <c r="AG38" s="46">
        <v>455959.93234372674</v>
      </c>
      <c r="AH38" s="46">
        <v>27859.905397577983</v>
      </c>
      <c r="AI38" s="46">
        <v>373253.60972067941</v>
      </c>
      <c r="AJ38" s="300">
        <v>1203</v>
      </c>
      <c r="AK38" s="300">
        <v>1121.8984615384616</v>
      </c>
      <c r="AL38" s="300">
        <v>1203</v>
      </c>
      <c r="AM38" s="300">
        <v>98.2</v>
      </c>
      <c r="AN38" s="300">
        <v>17.834822983768479</v>
      </c>
      <c r="AO38" s="300">
        <v>1319.0348229837687</v>
      </c>
      <c r="AP38" s="300">
        <v>34294.905397577983</v>
      </c>
      <c r="AQ38" s="300">
        <v>1836.5053975779804</v>
      </c>
      <c r="AR38" s="304"/>
      <c r="AS38" s="130">
        <v>2.6243902439024396E-2</v>
      </c>
      <c r="AT38" s="5">
        <v>0</v>
      </c>
      <c r="AU38" s="127"/>
      <c r="AV38" s="304">
        <v>0</v>
      </c>
      <c r="AW38" s="154">
        <v>0</v>
      </c>
      <c r="AX38" s="154">
        <v>10624.400719196836</v>
      </c>
      <c r="AY38" s="154">
        <v>0</v>
      </c>
      <c r="AZ38" s="154">
        <v>0</v>
      </c>
      <c r="BA38" s="154">
        <v>0</v>
      </c>
      <c r="BB38" s="154">
        <v>10624.400719196836</v>
      </c>
      <c r="BC38" s="146">
        <v>0</v>
      </c>
      <c r="BD38" s="146">
        <v>0</v>
      </c>
      <c r="BE38" s="146">
        <v>12629.073776171594</v>
      </c>
      <c r="BF38" s="5">
        <v>0</v>
      </c>
      <c r="BG38" s="250">
        <v>83029.699893724668</v>
      </c>
      <c r="BH38" s="152">
        <v>2.5000000000000001E-2</v>
      </c>
      <c r="BI38" s="152">
        <v>2.5000000000000001E-2</v>
      </c>
      <c r="BJ38" s="5">
        <v>0</v>
      </c>
      <c r="BK38" s="5">
        <v>0</v>
      </c>
      <c r="BL38" s="5">
        <v>0</v>
      </c>
      <c r="BM38" s="5">
        <v>10053.962511061911</v>
      </c>
      <c r="BN38" s="5">
        <v>321943.54208770202</v>
      </c>
      <c r="BO38" s="5">
        <v>0</v>
      </c>
      <c r="BP38" s="5"/>
      <c r="BQ38" s="5">
        <v>130045.58425664515</v>
      </c>
      <c r="BR38" s="5">
        <v>117141.92304453826</v>
      </c>
      <c r="BS38" s="5">
        <v>0</v>
      </c>
      <c r="BT38" s="5">
        <v>0</v>
      </c>
      <c r="BU38" s="5">
        <v>91243.691371690191</v>
      </c>
      <c r="BV38" s="5">
        <v>7361.1296955463704</v>
      </c>
      <c r="BW38" s="5">
        <v>0</v>
      </c>
      <c r="BY38" s="5">
        <f t="shared" si="1"/>
        <v>70000</v>
      </c>
      <c r="BZ38" s="5">
        <f t="shared" si="2"/>
        <v>27859.905397577983</v>
      </c>
      <c r="CA38" s="5">
        <f t="shared" si="3"/>
        <v>0</v>
      </c>
      <c r="CB38" s="5">
        <f t="shared" si="0"/>
        <v>10624.400719196836</v>
      </c>
      <c r="CC38" s="5">
        <f t="shared" si="4"/>
        <v>7361.1296955463704</v>
      </c>
      <c r="CD38" s="5"/>
      <c r="CE38" s="5">
        <f t="shared" si="5"/>
        <v>439085.46513224026</v>
      </c>
      <c r="CF38" s="5"/>
      <c r="CG38" s="5"/>
      <c r="CI38" s="46">
        <v>0</v>
      </c>
      <c r="CJ38" s="46">
        <v>0</v>
      </c>
      <c r="CK38" s="5">
        <v>0</v>
      </c>
      <c r="CL38" s="46">
        <v>0</v>
      </c>
      <c r="CM38" s="142">
        <v>1</v>
      </c>
      <c r="CN38" s="203">
        <v>0.04</v>
      </c>
      <c r="CO38" s="152">
        <v>5.6975000258535149E-2</v>
      </c>
      <c r="CP38" s="152">
        <v>5.6975000258535149E-2</v>
      </c>
      <c r="CQ38" s="152">
        <v>1.6975000258535149E-2</v>
      </c>
      <c r="CR38" s="250"/>
      <c r="CS38" s="250"/>
      <c r="CT38" s="250"/>
      <c r="CU38" s="250"/>
      <c r="CV38" s="46">
        <v>66938.241739736142</v>
      </c>
      <c r="CW38" s="46">
        <v>74311.762432368661</v>
      </c>
      <c r="CX38" s="5">
        <v>52139.2522123944</v>
      </c>
      <c r="CY38" s="5">
        <v>4569.6101851353542</v>
      </c>
      <c r="CZ38" s="5">
        <v>0</v>
      </c>
      <c r="DA38" s="46">
        <v>4206.3598260264971</v>
      </c>
      <c r="DB38" s="46">
        <v>0</v>
      </c>
      <c r="DC38" s="46">
        <v>64999.720000000038</v>
      </c>
      <c r="DD38" s="46">
        <v>54682.004726156432</v>
      </c>
      <c r="DE38" s="46">
        <v>0</v>
      </c>
      <c r="DF38" s="54"/>
      <c r="DG38" s="152"/>
      <c r="DH38" s="152"/>
      <c r="DI38" s="250"/>
      <c r="DJ38" s="250"/>
      <c r="DK38" s="250"/>
      <c r="DL38" s="250"/>
      <c r="DO38" s="5"/>
      <c r="DP38" s="5"/>
      <c r="DQ38" s="5"/>
      <c r="DW38" s="54"/>
      <c r="DX38" s="152"/>
      <c r="DY38" s="152"/>
      <c r="DZ38" s="250"/>
      <c r="EA38" s="250"/>
      <c r="EB38" s="250"/>
      <c r="EC38" s="250"/>
      <c r="ED38" s="425"/>
      <c r="EF38" s="5"/>
      <c r="EG38" s="5"/>
      <c r="EH38" s="5"/>
      <c r="EN38" s="142"/>
      <c r="EO38" s="200"/>
      <c r="EP38" s="200"/>
      <c r="ER38" s="220"/>
      <c r="ES38" s="89"/>
      <c r="EU38" s="5"/>
      <c r="EV38" s="5">
        <v>0</v>
      </c>
      <c r="EX38" s="5"/>
      <c r="FD38" s="63"/>
      <c r="FE38" s="54"/>
      <c r="FF38" s="54"/>
      <c r="FH38" s="54"/>
      <c r="FI38" s="54"/>
      <c r="FK38" s="5"/>
      <c r="FL38" s="46">
        <v>0</v>
      </c>
      <c r="FM38" s="5"/>
      <c r="FN38" s="5"/>
      <c r="FU38" s="45">
        <v>0</v>
      </c>
      <c r="FV38" s="46">
        <v>0</v>
      </c>
      <c r="FW38" s="5">
        <v>0</v>
      </c>
      <c r="FX38" s="46">
        <v>0</v>
      </c>
      <c r="FY38" s="142">
        <v>1</v>
      </c>
      <c r="FZ38" s="203">
        <v>0.04</v>
      </c>
      <c r="GA38" s="152">
        <v>5.6975000258535149E-2</v>
      </c>
      <c r="GB38" s="152">
        <v>5.6975000258535149E-2</v>
      </c>
      <c r="GC38" s="152">
        <v>1.6975000258535149E-2</v>
      </c>
      <c r="GD38" s="250"/>
      <c r="GE38" s="250"/>
      <c r="GF38" s="250"/>
      <c r="GG38" s="250"/>
      <c r="GH38" s="46">
        <v>50203.681304802114</v>
      </c>
      <c r="GI38" s="46">
        <v>55733.821824276492</v>
      </c>
      <c r="GJ38" s="5">
        <v>39104.439159295798</v>
      </c>
      <c r="GK38" s="5">
        <v>3427.2076388515161</v>
      </c>
      <c r="GL38" s="5">
        <v>0</v>
      </c>
      <c r="GM38" s="45">
        <v>3154.7698695198733</v>
      </c>
      <c r="GN38" s="46">
        <v>0</v>
      </c>
      <c r="GO38" s="46">
        <v>48749.790000000008</v>
      </c>
      <c r="GP38" s="46">
        <v>41011.503544617306</v>
      </c>
      <c r="GQ38" s="46">
        <v>0</v>
      </c>
      <c r="GR38" s="54"/>
      <c r="GS38" s="152"/>
      <c r="GT38" s="152"/>
      <c r="GU38" s="250"/>
      <c r="GV38" s="250"/>
      <c r="GW38" s="250"/>
      <c r="GX38" s="250"/>
      <c r="HA38" s="5"/>
      <c r="HC38" s="5"/>
      <c r="HI38" s="54"/>
      <c r="HJ38" s="152"/>
      <c r="HK38" s="152"/>
      <c r="HL38" s="250"/>
      <c r="HM38" s="250"/>
      <c r="HN38" s="250"/>
      <c r="HO38" s="250"/>
      <c r="HR38" s="5"/>
      <c r="HT38" s="5"/>
      <c r="HZ38" s="142"/>
      <c r="IA38" s="200"/>
      <c r="IB38" s="200"/>
      <c r="ID38" s="89"/>
      <c r="IE38" s="89"/>
      <c r="IF38" s="5"/>
      <c r="IG38" s="5"/>
      <c r="IH38" s="5">
        <v>0</v>
      </c>
      <c r="II38" s="5"/>
      <c r="IJ38" s="5"/>
      <c r="IP38" s="63"/>
      <c r="IQ38" s="89"/>
      <c r="IR38" s="200"/>
      <c r="IT38" s="89"/>
      <c r="IU38" s="89"/>
      <c r="IV38" s="5"/>
      <c r="IW38" s="5"/>
      <c r="IX38" s="46">
        <v>0</v>
      </c>
      <c r="IY38" s="5"/>
      <c r="IZ38" s="5"/>
    </row>
    <row r="39" spans="1:260" s="46" customFormat="1">
      <c r="A39" s="86">
        <v>9</v>
      </c>
      <c r="B39" s="117">
        <v>321943.54208770202</v>
      </c>
      <c r="C39" s="117">
        <v>0</v>
      </c>
      <c r="D39" s="117">
        <v>0</v>
      </c>
      <c r="E39" s="117">
        <v>0</v>
      </c>
      <c r="F39" s="29">
        <v>1</v>
      </c>
      <c r="G39" s="29">
        <v>1</v>
      </c>
      <c r="H39" s="126">
        <v>45589</v>
      </c>
      <c r="I39" s="68">
        <v>1.2184028975099184</v>
      </c>
      <c r="J39" s="125">
        <v>1.2184028975099184</v>
      </c>
      <c r="K39" s="117">
        <v>70000.001719337743</v>
      </c>
      <c r="L39" s="147">
        <v>0</v>
      </c>
      <c r="M39" s="147">
        <v>9658.3062626310602</v>
      </c>
      <c r="N39" s="147">
        <v>21957.51</v>
      </c>
      <c r="O39" s="127">
        <v>0</v>
      </c>
      <c r="P39" s="147">
        <v>7181.5899468745083</v>
      </c>
      <c r="Q39" s="147">
        <v>0</v>
      </c>
      <c r="R39" s="5">
        <v>31202.595509832179</v>
      </c>
      <c r="S39" s="46">
        <v>321943.54208770202</v>
      </c>
      <c r="T39" s="54">
        <v>4.3368086899420177E-19</v>
      </c>
      <c r="U39" s="152">
        <v>0</v>
      </c>
      <c r="V39" s="152">
        <v>1.7500000000000002E-2</v>
      </c>
      <c r="W39" s="152">
        <v>3.2500000000000001E-2</v>
      </c>
      <c r="X39" s="5">
        <v>6500</v>
      </c>
      <c r="Y39" s="5">
        <v>6500</v>
      </c>
      <c r="Z39" s="5">
        <v>0</v>
      </c>
      <c r="AA39" s="5">
        <v>0</v>
      </c>
      <c r="AB39" s="5">
        <v>0</v>
      </c>
      <c r="AC39" s="46">
        <v>9239.1651178503162</v>
      </c>
      <c r="AD39" s="46">
        <v>0</v>
      </c>
      <c r="AE39" s="46">
        <v>9239.1651178503162</v>
      </c>
      <c r="AF39" s="46">
        <v>33460.012950907025</v>
      </c>
      <c r="AG39" s="46">
        <v>413213.9665965233</v>
      </c>
      <c r="AH39" s="46">
        <v>31202.595509832179</v>
      </c>
      <c r="AI39" s="46">
        <v>373253.60972067941</v>
      </c>
      <c r="AJ39" s="300">
        <v>1203</v>
      </c>
      <c r="AK39" s="300">
        <v>1121.8984615384616</v>
      </c>
      <c r="AL39" s="300">
        <v>1203</v>
      </c>
      <c r="AM39" s="300">
        <v>98.2</v>
      </c>
      <c r="AN39" s="300">
        <v>17.399827301237536</v>
      </c>
      <c r="AO39" s="300">
        <v>1318.5998273012376</v>
      </c>
      <c r="AP39" s="300">
        <v>34283.595509832179</v>
      </c>
      <c r="AQ39" s="300">
        <v>1825.195509832176</v>
      </c>
      <c r="AR39" s="304"/>
      <c r="AS39" s="130">
        <v>2.6243902439024396E-2</v>
      </c>
      <c r="AT39" s="5">
        <v>0</v>
      </c>
      <c r="AU39" s="127"/>
      <c r="AV39" s="304">
        <v>0</v>
      </c>
      <c r="AW39" s="154">
        <v>0</v>
      </c>
      <c r="AX39" s="154">
        <v>9658.3062626310602</v>
      </c>
      <c r="AY39" s="154">
        <v>0</v>
      </c>
      <c r="AZ39" s="154">
        <v>0</v>
      </c>
      <c r="BA39" s="154">
        <v>0</v>
      </c>
      <c r="BB39" s="154">
        <v>9658.3062626310602</v>
      </c>
      <c r="BC39" s="146">
        <v>0</v>
      </c>
      <c r="BD39" s="146">
        <v>0</v>
      </c>
      <c r="BE39" s="146">
        <v>11767.708335427875</v>
      </c>
      <c r="BF39" s="5">
        <v>0</v>
      </c>
      <c r="BG39" s="250">
        <v>85105.442391067802</v>
      </c>
      <c r="BH39" s="152">
        <v>2.5000000000000001E-2</v>
      </c>
      <c r="BI39" s="152">
        <v>2.5000000000000001E-2</v>
      </c>
      <c r="BJ39" s="5">
        <v>0</v>
      </c>
      <c r="BK39" s="5">
        <v>0</v>
      </c>
      <c r="BL39" s="5">
        <v>0</v>
      </c>
      <c r="BM39" s="5">
        <v>9563.5253154003549</v>
      </c>
      <c r="BN39" s="5">
        <v>292669.2995977581</v>
      </c>
      <c r="BO39" s="5">
        <v>0</v>
      </c>
      <c r="BP39" s="5"/>
      <c r="BQ39" s="5">
        <v>124479.89657331887</v>
      </c>
      <c r="BR39" s="5">
        <v>112982.67678308682</v>
      </c>
      <c r="BS39" s="5">
        <v>0</v>
      </c>
      <c r="BT39" s="5">
        <v>0</v>
      </c>
      <c r="BU39" s="5">
        <v>81216.461997759339</v>
      </c>
      <c r="BV39" s="5">
        <v>7181.5899468745083</v>
      </c>
      <c r="BW39" s="5">
        <v>0</v>
      </c>
      <c r="BY39" s="5">
        <f t="shared" si="1"/>
        <v>70000</v>
      </c>
      <c r="BZ39" s="5">
        <f t="shared" si="2"/>
        <v>31202.595509832179</v>
      </c>
      <c r="CA39" s="5">
        <f t="shared" si="3"/>
        <v>0</v>
      </c>
      <c r="CB39" s="5">
        <f t="shared" si="0"/>
        <v>9658.3062626310602</v>
      </c>
      <c r="CC39" s="5">
        <f t="shared" si="4"/>
        <v>7181.5899468745083</v>
      </c>
      <c r="CD39" s="5"/>
      <c r="CE39" s="5">
        <f t="shared" si="5"/>
        <v>405651.97638084495</v>
      </c>
      <c r="CF39" s="5"/>
      <c r="CG39" s="5"/>
      <c r="CI39" s="46">
        <v>0</v>
      </c>
      <c r="CJ39" s="46">
        <v>0</v>
      </c>
      <c r="CK39" s="5">
        <v>0</v>
      </c>
      <c r="CL39" s="46">
        <v>0</v>
      </c>
      <c r="CM39" s="142">
        <v>1</v>
      </c>
      <c r="CN39" s="203">
        <v>0.04</v>
      </c>
      <c r="CO39" s="152">
        <v>5.7983333505690099E-2</v>
      </c>
      <c r="CP39" s="152">
        <v>5.7983333505690099E-2</v>
      </c>
      <c r="CQ39" s="152">
        <v>1.7983333505690098E-2</v>
      </c>
      <c r="CR39" s="250"/>
      <c r="CS39" s="250"/>
      <c r="CT39" s="250"/>
      <c r="CU39" s="250"/>
      <c r="CV39" s="46">
        <v>64561.529590335325</v>
      </c>
      <c r="CW39" s="46">
        <v>71131.369470467922</v>
      </c>
      <c r="CX39" s="5">
        <v>46409.406855862479</v>
      </c>
      <c r="CY39" s="5">
        <v>4458.1562781808334</v>
      </c>
      <c r="CZ39" s="5">
        <v>0</v>
      </c>
      <c r="DA39" s="46">
        <v>4103.7656839282899</v>
      </c>
      <c r="DB39" s="46">
        <v>0</v>
      </c>
      <c r="DC39" s="46">
        <v>59999.680000000037</v>
      </c>
      <c r="DD39" s="46">
        <v>49244.531609882855</v>
      </c>
      <c r="DE39" s="46">
        <v>0</v>
      </c>
      <c r="DF39" s="54"/>
      <c r="DG39" s="152"/>
      <c r="DH39" s="152"/>
      <c r="DI39" s="250"/>
      <c r="DJ39" s="250"/>
      <c r="DK39" s="250"/>
      <c r="DL39" s="250"/>
      <c r="DO39" s="5"/>
      <c r="DP39" s="5"/>
      <c r="DQ39" s="5"/>
      <c r="DW39" s="54"/>
      <c r="DX39" s="152"/>
      <c r="DY39" s="152"/>
      <c r="DZ39" s="250"/>
      <c r="EA39" s="250"/>
      <c r="EB39" s="250"/>
      <c r="EC39" s="250"/>
      <c r="ED39" s="425"/>
      <c r="EF39" s="5"/>
      <c r="EG39" s="5"/>
      <c r="EH39" s="5"/>
      <c r="EN39" s="142"/>
      <c r="EO39" s="200"/>
      <c r="EP39" s="200"/>
      <c r="ER39" s="220"/>
      <c r="ES39" s="89"/>
      <c r="EU39" s="5"/>
      <c r="EV39" s="5">
        <v>0</v>
      </c>
      <c r="EX39" s="5"/>
      <c r="FD39" s="63"/>
      <c r="FE39" s="53"/>
      <c r="FF39" s="54"/>
      <c r="FH39" s="54"/>
      <c r="FI39" s="54"/>
      <c r="FK39" s="5"/>
      <c r="FL39" s="46">
        <v>0</v>
      </c>
      <c r="FM39" s="5"/>
      <c r="FN39" s="5"/>
      <c r="FU39" s="45">
        <v>0</v>
      </c>
      <c r="FV39" s="46">
        <v>0</v>
      </c>
      <c r="FW39" s="5">
        <v>0</v>
      </c>
      <c r="FX39" s="46">
        <v>0</v>
      </c>
      <c r="FY39" s="142">
        <v>1</v>
      </c>
      <c r="FZ39" s="203">
        <v>0.04</v>
      </c>
      <c r="GA39" s="152">
        <v>5.7983333505690099E-2</v>
      </c>
      <c r="GB39" s="152">
        <v>5.7983333505690099E-2</v>
      </c>
      <c r="GC39" s="152">
        <v>1.7983333505690098E-2</v>
      </c>
      <c r="GD39" s="250"/>
      <c r="GE39" s="250"/>
      <c r="GF39" s="250"/>
      <c r="GG39" s="250"/>
      <c r="GH39" s="46">
        <v>48421.147192751494</v>
      </c>
      <c r="GI39" s="46">
        <v>53348.527102850945</v>
      </c>
      <c r="GJ39" s="5">
        <v>34807.055141896861</v>
      </c>
      <c r="GK39" s="5">
        <v>3343.617208635625</v>
      </c>
      <c r="GL39" s="5">
        <v>0</v>
      </c>
      <c r="GM39" s="45">
        <v>3077.8242629462179</v>
      </c>
      <c r="GN39" s="46">
        <v>0</v>
      </c>
      <c r="GO39" s="46">
        <v>44999.760000000009</v>
      </c>
      <c r="GP39" s="46">
        <v>36933.398707412125</v>
      </c>
      <c r="GQ39" s="46">
        <v>0</v>
      </c>
      <c r="GR39" s="54"/>
      <c r="GS39" s="152"/>
      <c r="GT39" s="152"/>
      <c r="GU39" s="250"/>
      <c r="GV39" s="250"/>
      <c r="GW39" s="250"/>
      <c r="GX39" s="250"/>
      <c r="HA39" s="5"/>
      <c r="HC39" s="5"/>
      <c r="HI39" s="54"/>
      <c r="HJ39" s="152"/>
      <c r="HK39" s="152"/>
      <c r="HL39" s="250"/>
      <c r="HM39" s="250"/>
      <c r="HN39" s="250"/>
      <c r="HO39" s="250"/>
      <c r="HR39" s="5"/>
      <c r="HT39" s="5"/>
      <c r="HZ39" s="142"/>
      <c r="IA39" s="200"/>
      <c r="IB39" s="200"/>
      <c r="ID39" s="89"/>
      <c r="IE39" s="89"/>
      <c r="IF39" s="5"/>
      <c r="IG39" s="5"/>
      <c r="IH39" s="5">
        <v>0</v>
      </c>
      <c r="II39" s="5"/>
      <c r="IJ39" s="5"/>
      <c r="IP39" s="63"/>
      <c r="IQ39" s="89"/>
      <c r="IR39" s="200"/>
      <c r="IT39" s="89"/>
      <c r="IU39" s="89"/>
      <c r="IV39" s="5"/>
      <c r="IW39" s="5"/>
      <c r="IX39" s="46">
        <v>0</v>
      </c>
      <c r="IY39" s="5"/>
      <c r="IZ39" s="5"/>
    </row>
    <row r="40" spans="1:260" s="46" customFormat="1">
      <c r="A40" s="86">
        <v>10</v>
      </c>
      <c r="B40" s="117">
        <v>292669.2995977581</v>
      </c>
      <c r="C40" s="117">
        <v>0</v>
      </c>
      <c r="D40" s="117">
        <v>0</v>
      </c>
      <c r="E40" s="117">
        <v>0</v>
      </c>
      <c r="F40" s="29">
        <v>1</v>
      </c>
      <c r="G40" s="29">
        <v>1</v>
      </c>
      <c r="H40" s="126">
        <v>45954</v>
      </c>
      <c r="I40" s="68">
        <v>1.2488629699476663</v>
      </c>
      <c r="J40" s="125">
        <v>1.2488629699476663</v>
      </c>
      <c r="K40" s="117">
        <v>70000.003558939105</v>
      </c>
      <c r="L40" s="147">
        <v>0</v>
      </c>
      <c r="M40" s="147">
        <v>8780.0789879327422</v>
      </c>
      <c r="N40" s="147">
        <v>20288.810000000001</v>
      </c>
      <c r="O40" s="127">
        <v>0</v>
      </c>
      <c r="P40" s="147">
        <v>7006.4292164629351</v>
      </c>
      <c r="Q40" s="147">
        <v>0</v>
      </c>
      <c r="R40" s="5">
        <v>33924.685354543428</v>
      </c>
      <c r="S40" s="46">
        <v>292669.2995977581</v>
      </c>
      <c r="T40" s="54">
        <v>4.3368086899420177E-19</v>
      </c>
      <c r="U40" s="152">
        <v>0</v>
      </c>
      <c r="V40" s="152">
        <v>1.7500000000000002E-2</v>
      </c>
      <c r="W40" s="152">
        <v>3.2500000000000001E-2</v>
      </c>
      <c r="X40" s="5">
        <v>6500</v>
      </c>
      <c r="Y40" s="5">
        <v>6500</v>
      </c>
      <c r="Z40" s="5">
        <v>0</v>
      </c>
      <c r="AA40" s="5">
        <v>0</v>
      </c>
      <c r="AB40" s="5">
        <v>0</v>
      </c>
      <c r="AC40" s="46">
        <v>8287.7522369271392</v>
      </c>
      <c r="AD40" s="46">
        <v>0</v>
      </c>
      <c r="AE40" s="46">
        <v>8287.7522369271392</v>
      </c>
      <c r="AF40" s="46">
        <v>33924.685354543428</v>
      </c>
      <c r="AG40" s="46">
        <v>373856.91126529785</v>
      </c>
      <c r="AH40" s="46">
        <v>34233.561473007001</v>
      </c>
      <c r="AI40" s="46">
        <v>373253.60972067941</v>
      </c>
      <c r="AJ40" s="300">
        <v>1203</v>
      </c>
      <c r="AK40" s="300">
        <v>1121.8984615384616</v>
      </c>
      <c r="AL40" s="300">
        <v>1203</v>
      </c>
      <c r="AM40" s="300">
        <v>98.2</v>
      </c>
      <c r="AN40" s="300">
        <v>16.975441269500038</v>
      </c>
      <c r="AO40" s="300">
        <v>1318.1754412695</v>
      </c>
      <c r="AP40" s="300">
        <v>34272.561473007001</v>
      </c>
      <c r="AQ40" s="300">
        <v>1814.161473007001</v>
      </c>
      <c r="AR40" s="304"/>
      <c r="AS40" s="130">
        <v>2.6243902439024396E-2</v>
      </c>
      <c r="AT40" s="5">
        <v>0</v>
      </c>
      <c r="AU40" s="127"/>
      <c r="AV40" s="304">
        <v>0</v>
      </c>
      <c r="AW40" s="154">
        <v>0</v>
      </c>
      <c r="AX40" s="154">
        <v>8780.0789879327422</v>
      </c>
      <c r="AY40" s="154">
        <v>0</v>
      </c>
      <c r="AZ40" s="154">
        <v>0</v>
      </c>
      <c r="BA40" s="154">
        <v>0</v>
      </c>
      <c r="BB40" s="154">
        <v>8780.0789879327422</v>
      </c>
      <c r="BC40" s="146">
        <v>0</v>
      </c>
      <c r="BD40" s="146">
        <v>0</v>
      </c>
      <c r="BE40" s="146">
        <v>10965.115521244785</v>
      </c>
      <c r="BF40" s="5">
        <v>0</v>
      </c>
      <c r="BG40" s="250">
        <v>87233.078450844492</v>
      </c>
      <c r="BH40" s="152">
        <v>2.5000000000000001E-2</v>
      </c>
      <c r="BI40" s="152">
        <v>2.5000000000000001E-2</v>
      </c>
      <c r="BJ40" s="5">
        <v>0</v>
      </c>
      <c r="BK40" s="5">
        <v>0</v>
      </c>
      <c r="BL40" s="5">
        <v>0</v>
      </c>
      <c r="BM40" s="5">
        <v>9097.0118853808272</v>
      </c>
      <c r="BN40" s="5">
        <v>265737.06302220304</v>
      </c>
      <c r="BO40" s="5">
        <v>0</v>
      </c>
      <c r="BP40" s="5"/>
      <c r="BQ40" s="5">
        <v>119108.34381311937</v>
      </c>
      <c r="BR40" s="5">
        <v>109074.82742205361</v>
      </c>
      <c r="BS40" s="5">
        <v>0</v>
      </c>
      <c r="BT40" s="5">
        <v>0</v>
      </c>
      <c r="BU40" s="5">
        <v>71624.086352139391</v>
      </c>
      <c r="BV40" s="5">
        <v>7006.4292164629351</v>
      </c>
      <c r="BW40" s="5">
        <v>0</v>
      </c>
      <c r="BY40" s="5">
        <f t="shared" si="1"/>
        <v>70000</v>
      </c>
      <c r="BZ40" s="5">
        <f t="shared" si="2"/>
        <v>33924.685354543428</v>
      </c>
      <c r="CA40" s="5">
        <f t="shared" si="3"/>
        <v>0</v>
      </c>
      <c r="CB40" s="5">
        <f t="shared" si="0"/>
        <v>8780.0789879327422</v>
      </c>
      <c r="CC40" s="5">
        <f t="shared" si="4"/>
        <v>7006.4292164629351</v>
      </c>
      <c r="CD40" s="5"/>
      <c r="CE40" s="5">
        <f t="shared" si="5"/>
        <v>374811.89044425666</v>
      </c>
      <c r="CF40" s="5"/>
      <c r="CG40" s="5"/>
      <c r="CI40" s="46">
        <v>0</v>
      </c>
      <c r="CJ40" s="46">
        <v>0</v>
      </c>
      <c r="CK40" s="5">
        <v>0</v>
      </c>
      <c r="CL40" s="46">
        <v>0</v>
      </c>
      <c r="CM40" s="142">
        <v>1</v>
      </c>
      <c r="CN40" s="203">
        <v>0.04</v>
      </c>
      <c r="CO40" s="152">
        <v>5.8991666752845048E-2</v>
      </c>
      <c r="CP40" s="152">
        <v>5.8991666752845048E-2</v>
      </c>
      <c r="CQ40" s="152">
        <v>1.8991666752845048E-2</v>
      </c>
      <c r="CR40" s="250"/>
      <c r="CS40" s="250"/>
      <c r="CT40" s="250"/>
      <c r="CU40" s="250"/>
      <c r="CV40" s="46">
        <v>62328.472812602056</v>
      </c>
      <c r="CW40" s="46">
        <v>68061.910750353927</v>
      </c>
      <c r="CX40" s="5">
        <v>40928.049344079649</v>
      </c>
      <c r="CY40" s="5">
        <v>4349.4207592008133</v>
      </c>
      <c r="CZ40" s="5">
        <v>0</v>
      </c>
      <c r="DA40" s="46">
        <v>4003.6738379788194</v>
      </c>
      <c r="DB40" s="46">
        <v>0</v>
      </c>
      <c r="DC40" s="46">
        <v>54999.640000000036</v>
      </c>
      <c r="DD40" s="46">
        <v>44039.771635077625</v>
      </c>
      <c r="DE40" s="46">
        <v>0</v>
      </c>
      <c r="DF40" s="54"/>
      <c r="DG40" s="152"/>
      <c r="DH40" s="152"/>
      <c r="DI40" s="250"/>
      <c r="DJ40" s="250"/>
      <c r="DK40" s="250"/>
      <c r="DL40" s="250"/>
      <c r="DO40" s="5"/>
      <c r="DP40" s="5"/>
      <c r="DQ40" s="5"/>
      <c r="DW40" s="54"/>
      <c r="DX40" s="152"/>
      <c r="DY40" s="152"/>
      <c r="DZ40" s="250"/>
      <c r="EA40" s="250"/>
      <c r="EB40" s="250"/>
      <c r="EC40" s="250"/>
      <c r="ED40" s="425"/>
      <c r="EF40" s="5"/>
      <c r="EG40" s="5"/>
      <c r="EH40" s="5"/>
      <c r="EN40" s="142"/>
      <c r="EO40" s="200"/>
      <c r="EP40" s="200"/>
      <c r="ER40" s="220"/>
      <c r="ES40" s="89"/>
      <c r="EU40" s="5"/>
      <c r="EV40" s="5">
        <v>0</v>
      </c>
      <c r="EX40" s="5"/>
      <c r="FD40" s="63"/>
      <c r="FE40" s="53"/>
      <c r="FF40" s="54"/>
      <c r="FH40" s="54"/>
      <c r="FI40" s="54"/>
      <c r="FL40" s="46">
        <v>0</v>
      </c>
      <c r="FM40" s="5"/>
      <c r="FN40" s="5"/>
      <c r="FU40" s="45">
        <v>0</v>
      </c>
      <c r="FV40" s="46">
        <v>0</v>
      </c>
      <c r="FW40" s="5">
        <v>0</v>
      </c>
      <c r="FX40" s="46">
        <v>0</v>
      </c>
      <c r="FY40" s="142">
        <v>1</v>
      </c>
      <c r="FZ40" s="203">
        <v>0.04</v>
      </c>
      <c r="GA40" s="152">
        <v>5.8991666752845048E-2</v>
      </c>
      <c r="GB40" s="152">
        <v>5.8991666752845048E-2</v>
      </c>
      <c r="GC40" s="152">
        <v>1.8991666752845048E-2</v>
      </c>
      <c r="GD40" s="250"/>
      <c r="GE40" s="250"/>
      <c r="GF40" s="250"/>
      <c r="GG40" s="250"/>
      <c r="GH40" s="46">
        <v>46746.354609451548</v>
      </c>
      <c r="GI40" s="46">
        <v>51046.433062765442</v>
      </c>
      <c r="GJ40" s="5">
        <v>30696.037008059739</v>
      </c>
      <c r="GK40" s="5">
        <v>3262.06556940061</v>
      </c>
      <c r="GL40" s="5">
        <v>0</v>
      </c>
      <c r="GM40" s="45">
        <v>3002.7553784841152</v>
      </c>
      <c r="GN40" s="46">
        <v>0</v>
      </c>
      <c r="GO40" s="46">
        <v>41249.73000000001</v>
      </c>
      <c r="GP40" s="46">
        <v>33029.828726308202</v>
      </c>
      <c r="GQ40" s="46">
        <v>0</v>
      </c>
      <c r="GR40" s="54"/>
      <c r="GS40" s="152"/>
      <c r="GT40" s="152"/>
      <c r="GU40" s="250"/>
      <c r="GV40" s="250"/>
      <c r="GW40" s="250"/>
      <c r="GX40" s="250"/>
      <c r="HA40" s="5"/>
      <c r="HC40" s="5"/>
      <c r="HI40" s="54"/>
      <c r="HJ40" s="152"/>
      <c r="HK40" s="152"/>
      <c r="HL40" s="250"/>
      <c r="HM40" s="250"/>
      <c r="HN40" s="250"/>
      <c r="HO40" s="250"/>
      <c r="HR40" s="5"/>
      <c r="HT40" s="5"/>
      <c r="HZ40" s="142"/>
      <c r="IA40" s="200"/>
      <c r="IB40" s="200"/>
      <c r="ID40" s="89"/>
      <c r="IE40" s="89"/>
      <c r="IF40" s="5"/>
      <c r="IG40" s="5"/>
      <c r="IH40" s="5">
        <v>0</v>
      </c>
      <c r="II40" s="5"/>
      <c r="IJ40" s="5"/>
      <c r="IP40" s="63"/>
      <c r="IQ40" s="89"/>
      <c r="IR40" s="200"/>
      <c r="IT40" s="89"/>
      <c r="IU40" s="89"/>
      <c r="IV40" s="5"/>
      <c r="IW40" s="5"/>
      <c r="IX40" s="46">
        <v>0</v>
      </c>
      <c r="IY40" s="5"/>
      <c r="IZ40" s="5"/>
    </row>
    <row r="41" spans="1:260" s="46" customFormat="1">
      <c r="A41" s="86">
        <v>11</v>
      </c>
      <c r="B41" s="117">
        <v>265737.06302220304</v>
      </c>
      <c r="C41" s="117">
        <v>0</v>
      </c>
      <c r="D41" s="117">
        <v>0</v>
      </c>
      <c r="E41" s="117">
        <v>0</v>
      </c>
      <c r="F41" s="29">
        <v>1</v>
      </c>
      <c r="G41" s="29">
        <v>1</v>
      </c>
      <c r="H41" s="126">
        <v>46319</v>
      </c>
      <c r="I41" s="68">
        <v>1.280084544196358</v>
      </c>
      <c r="J41" s="125">
        <v>1.280084544196358</v>
      </c>
      <c r="K41" s="117">
        <v>69999.999148685543</v>
      </c>
      <c r="L41" s="147">
        <v>0</v>
      </c>
      <c r="M41" s="147">
        <v>7972.1118906660913</v>
      </c>
      <c r="N41" s="147">
        <v>20930.55</v>
      </c>
      <c r="O41" s="147">
        <v>0</v>
      </c>
      <c r="P41" s="147">
        <v>6835.5406989882285</v>
      </c>
      <c r="Q41" s="147">
        <v>0</v>
      </c>
      <c r="R41" s="46">
        <v>34261.796559031223</v>
      </c>
      <c r="S41" s="46">
        <v>265737.06302220304</v>
      </c>
      <c r="T41" s="54">
        <v>4.3368086899420177E-19</v>
      </c>
      <c r="U41" s="152">
        <v>0</v>
      </c>
      <c r="V41" s="152">
        <v>1.7500000000000002E-2</v>
      </c>
      <c r="W41" s="152">
        <v>3.2500000000000001E-2</v>
      </c>
      <c r="X41" s="5">
        <v>6500</v>
      </c>
      <c r="Y41" s="5">
        <v>6500</v>
      </c>
      <c r="Z41" s="5">
        <v>0</v>
      </c>
      <c r="AA41" s="5">
        <v>0</v>
      </c>
      <c r="AB41" s="5">
        <v>0</v>
      </c>
      <c r="AC41" s="46">
        <v>7412.454548221599</v>
      </c>
      <c r="AD41" s="46">
        <v>0</v>
      </c>
      <c r="AE41" s="46">
        <v>7412.454548221599</v>
      </c>
      <c r="AF41" s="46">
        <v>34261.796559031223</v>
      </c>
      <c r="AG41" s="46">
        <v>337285.39200371847</v>
      </c>
      <c r="AH41" s="46">
        <v>34261.796559031223</v>
      </c>
      <c r="AI41" s="46">
        <v>373253.60972067941</v>
      </c>
      <c r="AJ41" s="300">
        <v>1203</v>
      </c>
      <c r="AK41" s="300">
        <v>1121.8984615384616</v>
      </c>
      <c r="AL41" s="300">
        <v>1203</v>
      </c>
      <c r="AM41" s="300">
        <v>98.2</v>
      </c>
      <c r="AN41" s="300">
        <v>16.561406116585403</v>
      </c>
      <c r="AO41" s="300">
        <v>1317.7614061165855</v>
      </c>
      <c r="AP41" s="300">
        <v>34261.796559031223</v>
      </c>
      <c r="AQ41" s="300">
        <v>1803.3965590312205</v>
      </c>
      <c r="AR41" s="304"/>
      <c r="AS41" s="130">
        <v>2.6243902439024396E-2</v>
      </c>
      <c r="AT41" s="5">
        <v>0</v>
      </c>
      <c r="AU41" s="127"/>
      <c r="AV41" s="304">
        <v>0</v>
      </c>
      <c r="AW41" s="154">
        <v>0</v>
      </c>
      <c r="AX41" s="154">
        <v>7972.1118906660913</v>
      </c>
      <c r="AY41" s="154">
        <v>0</v>
      </c>
      <c r="AZ41" s="154">
        <v>0</v>
      </c>
      <c r="BA41" s="154">
        <v>0</v>
      </c>
      <c r="BB41" s="154">
        <v>7972.1118906660913</v>
      </c>
      <c r="BC41" s="146">
        <v>0</v>
      </c>
      <c r="BD41" s="146">
        <v>0</v>
      </c>
      <c r="BE41" s="146">
        <v>10204.977215845669</v>
      </c>
      <c r="BF41" s="5">
        <v>0</v>
      </c>
      <c r="BG41" s="250">
        <v>89413.905412115608</v>
      </c>
      <c r="BH41" s="152">
        <v>2.5000000000000001E-2</v>
      </c>
      <c r="BI41" s="152">
        <v>2.5000000000000001E-2</v>
      </c>
      <c r="BJ41" s="5">
        <v>0</v>
      </c>
      <c r="BK41" s="5">
        <v>0</v>
      </c>
      <c r="BL41" s="5">
        <v>0</v>
      </c>
      <c r="BM41" s="5">
        <v>8653.2552080451769</v>
      </c>
      <c r="BN41" s="5">
        <v>238835.62246068593</v>
      </c>
      <c r="BO41" s="5">
        <v>0</v>
      </c>
      <c r="BP41" s="5"/>
      <c r="BQ41" s="5">
        <v>113924.76691833511</v>
      </c>
      <c r="BR41" s="5">
        <v>105411.87594960644</v>
      </c>
      <c r="BS41" s="5">
        <v>0</v>
      </c>
      <c r="BT41" s="5">
        <v>0</v>
      </c>
      <c r="BU41" s="5">
        <v>62451.317096134604</v>
      </c>
      <c r="BV41" s="5">
        <v>6835.5406989882285</v>
      </c>
      <c r="BW41" s="5">
        <v>0</v>
      </c>
      <c r="BY41" s="5">
        <f t="shared" si="1"/>
        <v>70000</v>
      </c>
      <c r="BZ41" s="5">
        <f t="shared" si="2"/>
        <v>34261.796559031223</v>
      </c>
      <c r="CA41" s="5">
        <f t="shared" si="3"/>
        <v>0</v>
      </c>
      <c r="CB41" s="5">
        <f t="shared" si="0"/>
        <v>7972.1118906660913</v>
      </c>
      <c r="CC41" s="5">
        <f t="shared" si="4"/>
        <v>6835.5406989882285</v>
      </c>
      <c r="CD41" s="5"/>
      <c r="CE41" s="5">
        <f t="shared" si="5"/>
        <v>344247.49841029238</v>
      </c>
      <c r="CF41" s="5"/>
      <c r="CG41" s="5"/>
      <c r="CI41" s="46">
        <v>0</v>
      </c>
      <c r="CJ41" s="46">
        <v>0</v>
      </c>
      <c r="CK41" s="5">
        <v>0</v>
      </c>
      <c r="CL41" s="46">
        <v>0</v>
      </c>
      <c r="CM41" s="142">
        <v>1</v>
      </c>
      <c r="CN41" s="203">
        <v>0.04</v>
      </c>
      <c r="CO41" s="152">
        <v>0.06</v>
      </c>
      <c r="CP41" s="152">
        <v>0.06</v>
      </c>
      <c r="CQ41" s="152">
        <v>0.02</v>
      </c>
      <c r="CR41" s="250"/>
      <c r="CS41" s="250"/>
      <c r="CT41" s="250"/>
      <c r="CU41" s="250"/>
      <c r="CV41" s="46">
        <v>60235.357685489398</v>
      </c>
      <c r="CW41" s="46">
        <v>65099.866810477208</v>
      </c>
      <c r="CX41" s="5">
        <v>35686.466912076918</v>
      </c>
      <c r="CY41" s="5">
        <v>4243.3373260495737</v>
      </c>
      <c r="CZ41" s="5">
        <v>0</v>
      </c>
      <c r="DA41" s="46">
        <v>3906.023256564702</v>
      </c>
      <c r="DB41" s="46">
        <v>0</v>
      </c>
      <c r="DC41" s="46">
        <v>49999.600000000035</v>
      </c>
      <c r="DD41" s="46">
        <v>39059.607606925667</v>
      </c>
      <c r="DE41" s="46">
        <v>0</v>
      </c>
      <c r="DF41" s="54"/>
      <c r="DG41" s="152"/>
      <c r="DH41" s="152"/>
      <c r="DI41" s="250"/>
      <c r="DJ41" s="250"/>
      <c r="DK41" s="250"/>
      <c r="DL41" s="250"/>
      <c r="DO41" s="5"/>
      <c r="DP41" s="5"/>
      <c r="DQ41" s="5"/>
      <c r="DW41" s="54"/>
      <c r="DX41" s="152"/>
      <c r="DY41" s="152"/>
      <c r="DZ41" s="250"/>
      <c r="EA41" s="250"/>
      <c r="EB41" s="250"/>
      <c r="EC41" s="250"/>
      <c r="ED41" s="425"/>
      <c r="EF41" s="5"/>
      <c r="EG41" s="5"/>
      <c r="EH41" s="5"/>
      <c r="EN41" s="142"/>
      <c r="EO41" s="200"/>
      <c r="EP41" s="200"/>
      <c r="ER41" s="220"/>
      <c r="ES41" s="89"/>
      <c r="EU41" s="5"/>
      <c r="EV41" s="46">
        <v>0</v>
      </c>
      <c r="EX41" s="5"/>
      <c r="FE41" s="53"/>
      <c r="FF41" s="54"/>
      <c r="FH41" s="54"/>
      <c r="FI41" s="54"/>
      <c r="FL41" s="46">
        <v>0</v>
      </c>
      <c r="FU41" s="45">
        <v>0</v>
      </c>
      <c r="FV41" s="46">
        <v>0</v>
      </c>
      <c r="FW41" s="5">
        <v>0</v>
      </c>
      <c r="FX41" s="46">
        <v>0</v>
      </c>
      <c r="FY41" s="142">
        <v>1</v>
      </c>
      <c r="FZ41" s="203">
        <v>0.04</v>
      </c>
      <c r="GA41" s="152">
        <v>0.06</v>
      </c>
      <c r="GB41" s="152">
        <v>0.06</v>
      </c>
      <c r="GC41" s="152">
        <v>0.02</v>
      </c>
      <c r="GD41" s="250"/>
      <c r="GE41" s="250"/>
      <c r="GF41" s="250"/>
      <c r="GG41" s="250"/>
      <c r="GH41" s="46">
        <v>45176.518264117047</v>
      </c>
      <c r="GI41" s="46">
        <v>48824.900107857909</v>
      </c>
      <c r="GJ41" s="5">
        <v>26764.850184057686</v>
      </c>
      <c r="GK41" s="5">
        <v>3182.5029945371803</v>
      </c>
      <c r="GL41" s="5">
        <v>0</v>
      </c>
      <c r="GM41" s="45">
        <v>2929.517442423527</v>
      </c>
      <c r="GN41" s="46">
        <v>0</v>
      </c>
      <c r="GO41" s="46">
        <v>37499.700000000012</v>
      </c>
      <c r="GP41" s="46">
        <v>29294.705705194236</v>
      </c>
      <c r="GQ41" s="46">
        <v>0</v>
      </c>
      <c r="GR41" s="54"/>
      <c r="GS41" s="54"/>
      <c r="GT41" s="152"/>
      <c r="GU41" s="250"/>
      <c r="GV41" s="250"/>
      <c r="GW41" s="250"/>
      <c r="GX41" s="250"/>
      <c r="HA41" s="5"/>
      <c r="HC41" s="5"/>
      <c r="HI41" s="54"/>
      <c r="HJ41" s="54"/>
      <c r="HK41" s="152"/>
      <c r="HL41" s="250"/>
      <c r="HM41" s="250"/>
      <c r="HN41" s="250"/>
      <c r="HO41" s="250"/>
      <c r="HR41" s="5"/>
      <c r="HT41" s="5"/>
      <c r="HZ41" s="142"/>
      <c r="IA41" s="200"/>
      <c r="IB41" s="200"/>
      <c r="ID41" s="89"/>
      <c r="IE41" s="89"/>
      <c r="IF41" s="5"/>
      <c r="IG41" s="5"/>
      <c r="IH41" s="5">
        <v>0</v>
      </c>
      <c r="II41" s="5"/>
      <c r="IJ41" s="5"/>
      <c r="IP41" s="63"/>
      <c r="IQ41" s="89"/>
      <c r="IR41" s="89"/>
      <c r="IT41" s="89"/>
      <c r="IU41" s="89"/>
      <c r="IV41" s="5"/>
      <c r="IW41" s="5"/>
      <c r="IX41" s="46">
        <v>0</v>
      </c>
      <c r="IY41" s="5"/>
      <c r="IZ41" s="5"/>
    </row>
    <row r="42" spans="1:260" s="46" customFormat="1">
      <c r="A42" s="86">
        <v>12</v>
      </c>
      <c r="B42" s="117">
        <v>238835.62246068593</v>
      </c>
      <c r="C42" s="117">
        <v>0</v>
      </c>
      <c r="D42" s="117">
        <v>0</v>
      </c>
      <c r="E42" s="117">
        <v>0</v>
      </c>
      <c r="F42" s="29">
        <v>1</v>
      </c>
      <c r="G42" s="29">
        <v>1</v>
      </c>
      <c r="H42" s="47">
        <v>46684</v>
      </c>
      <c r="I42" s="68">
        <v>1.3120866578012669</v>
      </c>
      <c r="J42" s="125">
        <v>1.3120866578012669</v>
      </c>
      <c r="K42" s="117">
        <v>70000.003071888335</v>
      </c>
      <c r="L42" s="147">
        <v>0</v>
      </c>
      <c r="M42" s="147">
        <v>7165.0686738205777</v>
      </c>
      <c r="N42" s="147">
        <v>21914.82</v>
      </c>
      <c r="O42" s="147">
        <v>0</v>
      </c>
      <c r="P42" s="147">
        <v>6668.820194134858</v>
      </c>
      <c r="Q42" s="147">
        <v>0</v>
      </c>
      <c r="R42" s="46">
        <v>34251.294203932899</v>
      </c>
      <c r="S42" s="46">
        <v>238835.62246068593</v>
      </c>
      <c r="T42" s="54">
        <v>4.3368086899420177E-19</v>
      </c>
      <c r="U42" s="152">
        <v>0</v>
      </c>
      <c r="V42" s="152">
        <v>1.7500000000000002E-2</v>
      </c>
      <c r="W42" s="152">
        <v>3.2500000000000001E-2</v>
      </c>
      <c r="X42" s="5">
        <v>6500</v>
      </c>
      <c r="Y42" s="5">
        <v>6500</v>
      </c>
      <c r="Z42" s="5">
        <v>0</v>
      </c>
      <c r="AA42" s="5">
        <v>0</v>
      </c>
      <c r="AB42" s="5">
        <v>0</v>
      </c>
      <c r="AC42" s="46">
        <v>6538.1577299722931</v>
      </c>
      <c r="AD42" s="46">
        <v>0</v>
      </c>
      <c r="AE42" s="46">
        <v>6538.1577299722931</v>
      </c>
      <c r="AF42" s="46">
        <v>34251.294203932899</v>
      </c>
      <c r="AG42" s="46">
        <v>301172.26964487537</v>
      </c>
      <c r="AH42" s="46">
        <v>34251.294203932899</v>
      </c>
      <c r="AI42" s="46">
        <v>373253.60972067941</v>
      </c>
      <c r="AJ42" s="300">
        <v>1203</v>
      </c>
      <c r="AK42" s="300">
        <v>1121.8984615384616</v>
      </c>
      <c r="AL42" s="300">
        <v>1203</v>
      </c>
      <c r="AM42" s="300">
        <v>98.2</v>
      </c>
      <c r="AN42" s="300">
        <v>16.157469382034538</v>
      </c>
      <c r="AO42" s="300">
        <v>1317.3574693820347</v>
      </c>
      <c r="AP42" s="300">
        <v>34251.294203932899</v>
      </c>
      <c r="AQ42" s="300">
        <v>1792.8942039328979</v>
      </c>
      <c r="AR42" s="304"/>
      <c r="AS42" s="130">
        <v>2.6243902439024396E-2</v>
      </c>
      <c r="AT42" s="5">
        <v>0</v>
      </c>
      <c r="AU42" s="127"/>
      <c r="AV42" s="304">
        <v>0</v>
      </c>
      <c r="AW42" s="154">
        <v>0</v>
      </c>
      <c r="AX42" s="154">
        <v>7165.0686738205777</v>
      </c>
      <c r="AY42" s="154">
        <v>0</v>
      </c>
      <c r="AZ42" s="154">
        <v>0</v>
      </c>
      <c r="BA42" s="154">
        <v>0</v>
      </c>
      <c r="BB42" s="154">
        <v>7165.0686738205777</v>
      </c>
      <c r="BC42" s="146">
        <v>0</v>
      </c>
      <c r="BD42" s="146">
        <v>0</v>
      </c>
      <c r="BE42" s="146">
        <v>9401.1910091497975</v>
      </c>
      <c r="BF42" s="5">
        <v>0</v>
      </c>
      <c r="BG42" s="250">
        <v>91649.25304741849</v>
      </c>
      <c r="BH42" s="152">
        <v>2.5000000000000001E-2</v>
      </c>
      <c r="BI42" s="152">
        <v>2.5000000000000001E-2</v>
      </c>
      <c r="BJ42" s="5">
        <v>0</v>
      </c>
      <c r="BK42" s="5">
        <v>0</v>
      </c>
      <c r="BL42" s="5">
        <v>0</v>
      </c>
      <c r="BM42" s="5">
        <v>8231.1451978966306</v>
      </c>
      <c r="BN42" s="5">
        <v>211630.05118115703</v>
      </c>
      <c r="BO42" s="5">
        <v>0</v>
      </c>
      <c r="BP42" s="5"/>
      <c r="BQ42" s="5">
        <v>108923.19178533505</v>
      </c>
      <c r="BR42" s="5">
        <v>102342.48566594596</v>
      </c>
      <c r="BS42" s="5">
        <v>0</v>
      </c>
      <c r="BT42" s="5">
        <v>0</v>
      </c>
      <c r="BU42" s="5">
        <v>53683.391976144245</v>
      </c>
      <c r="BV42" s="5">
        <v>6668.820194134858</v>
      </c>
      <c r="BW42" s="5">
        <v>0</v>
      </c>
      <c r="BY42" s="5">
        <f t="shared" si="1"/>
        <v>70000</v>
      </c>
      <c r="BZ42" s="5">
        <f t="shared" si="2"/>
        <v>34251.294203932899</v>
      </c>
      <c r="CA42" s="5">
        <f t="shared" si="3"/>
        <v>0</v>
      </c>
      <c r="CB42" s="5">
        <f t="shared" si="0"/>
        <v>7165.0686738205777</v>
      </c>
      <c r="CC42" s="5">
        <f t="shared" si="4"/>
        <v>6668.820194134858</v>
      </c>
      <c r="CD42" s="5"/>
      <c r="CE42" s="5">
        <f t="shared" si="5"/>
        <v>313972.53684710298</v>
      </c>
      <c r="CF42" s="5"/>
      <c r="CG42" s="5"/>
      <c r="CI42" s="46">
        <v>0</v>
      </c>
      <c r="CJ42" s="46">
        <v>0</v>
      </c>
      <c r="CK42" s="5">
        <v>0</v>
      </c>
      <c r="CL42" s="46">
        <v>0</v>
      </c>
      <c r="CM42" s="142">
        <v>1</v>
      </c>
      <c r="CN42" s="203">
        <v>0.04</v>
      </c>
      <c r="CO42" s="152">
        <v>0.06</v>
      </c>
      <c r="CP42" s="152">
        <v>0.06</v>
      </c>
      <c r="CQ42" s="152">
        <v>0.02</v>
      </c>
      <c r="CR42" s="250"/>
      <c r="CS42" s="250"/>
      <c r="CT42" s="250"/>
      <c r="CU42" s="250"/>
      <c r="CV42" s="46">
        <v>58481.420380540549</v>
      </c>
      <c r="CW42" s="46">
        <v>62241.823877334311</v>
      </c>
      <c r="CX42" s="5">
        <v>30676.223986368139</v>
      </c>
      <c r="CY42" s="5">
        <v>4139.8412937069015</v>
      </c>
      <c r="CZ42" s="5">
        <v>0</v>
      </c>
      <c r="DA42" s="46">
        <v>3810.75439664849</v>
      </c>
      <c r="DB42" s="46">
        <v>0</v>
      </c>
      <c r="DC42" s="46">
        <v>44999.560000000034</v>
      </c>
      <c r="DD42" s="46">
        <v>34296.179854010697</v>
      </c>
      <c r="DE42" s="46">
        <v>0</v>
      </c>
      <c r="DF42" s="54"/>
      <c r="DG42" s="54"/>
      <c r="DH42" s="152"/>
      <c r="DI42" s="250"/>
      <c r="DJ42" s="250"/>
      <c r="DK42" s="250"/>
      <c r="DL42" s="250"/>
      <c r="DO42" s="5"/>
      <c r="DP42" s="5"/>
      <c r="DQ42" s="5"/>
      <c r="DW42" s="54"/>
      <c r="DX42" s="54"/>
      <c r="DY42" s="152"/>
      <c r="DZ42" s="250"/>
      <c r="EA42" s="250"/>
      <c r="EB42" s="250"/>
      <c r="EC42" s="250"/>
      <c r="ED42" s="425"/>
      <c r="EF42" s="5"/>
      <c r="EG42" s="5"/>
      <c r="EH42" s="5"/>
      <c r="EN42" s="142"/>
      <c r="EO42" s="200"/>
      <c r="EP42" s="200"/>
      <c r="ER42" s="220"/>
      <c r="ES42" s="89"/>
      <c r="EU42" s="5"/>
      <c r="EV42" s="46">
        <v>0</v>
      </c>
      <c r="EX42" s="5"/>
      <c r="FE42" s="53"/>
      <c r="FF42" s="54"/>
      <c r="FH42" s="54"/>
      <c r="FI42" s="54"/>
      <c r="FL42" s="46">
        <v>0</v>
      </c>
      <c r="FU42" s="45">
        <v>0</v>
      </c>
      <c r="FV42" s="46">
        <v>0</v>
      </c>
      <c r="FW42" s="5">
        <v>0</v>
      </c>
      <c r="FX42" s="46">
        <v>0</v>
      </c>
      <c r="FY42" s="63">
        <v>1</v>
      </c>
      <c r="FZ42" s="203">
        <v>0.04</v>
      </c>
      <c r="GA42" s="152">
        <v>0.06</v>
      </c>
      <c r="GB42" s="54">
        <v>0.06</v>
      </c>
      <c r="GC42" s="152">
        <v>0.02</v>
      </c>
      <c r="GD42" s="250"/>
      <c r="GE42" s="250"/>
      <c r="GF42" s="250"/>
      <c r="GG42" s="250"/>
      <c r="GH42" s="46">
        <v>43861.065285405413</v>
      </c>
      <c r="GI42" s="46">
        <v>46681.367908000735</v>
      </c>
      <c r="GJ42" s="5">
        <v>23007.167989776106</v>
      </c>
      <c r="GK42" s="5">
        <v>3104.8809702801759</v>
      </c>
      <c r="GL42" s="5">
        <v>0</v>
      </c>
      <c r="GM42" s="45">
        <v>2858.065797486368</v>
      </c>
      <c r="GN42" s="46">
        <v>0</v>
      </c>
      <c r="GO42" s="46">
        <v>33749.670000000013</v>
      </c>
      <c r="GP42" s="46">
        <v>25722.134890508012</v>
      </c>
      <c r="GQ42" s="46">
        <v>0</v>
      </c>
      <c r="GR42" s="54"/>
      <c r="GS42" s="54"/>
      <c r="GT42" s="152"/>
      <c r="GU42" s="250"/>
      <c r="GV42" s="250"/>
      <c r="GW42" s="250"/>
      <c r="GX42" s="250"/>
      <c r="HA42" s="5"/>
      <c r="HC42" s="5"/>
      <c r="HI42" s="54"/>
      <c r="HJ42" s="54"/>
      <c r="HK42" s="152"/>
      <c r="HL42" s="250"/>
      <c r="HM42" s="250"/>
      <c r="HN42" s="250"/>
      <c r="HO42" s="250"/>
      <c r="HR42" s="5"/>
      <c r="HT42" s="5"/>
      <c r="HZ42" s="142"/>
      <c r="IA42" s="200"/>
      <c r="IB42" s="200"/>
      <c r="ID42" s="89"/>
      <c r="IE42" s="89"/>
      <c r="IF42" s="5"/>
      <c r="IG42" s="5"/>
      <c r="IH42" s="46">
        <v>0</v>
      </c>
      <c r="IJ42" s="5"/>
      <c r="IP42" s="63"/>
      <c r="IQ42" s="89"/>
      <c r="IR42" s="89"/>
      <c r="IT42" s="89"/>
      <c r="IU42" s="89"/>
      <c r="IV42" s="5"/>
      <c r="IW42" s="5"/>
      <c r="IX42" s="46">
        <v>0</v>
      </c>
      <c r="IY42" s="5"/>
      <c r="IZ42" s="5"/>
    </row>
    <row r="43" spans="1:260" s="46" customFormat="1">
      <c r="A43" s="86">
        <v>13</v>
      </c>
      <c r="B43" s="117">
        <v>211630.05118115703</v>
      </c>
      <c r="C43" s="117">
        <v>0</v>
      </c>
      <c r="D43" s="117">
        <v>0</v>
      </c>
      <c r="E43" s="117">
        <v>0</v>
      </c>
      <c r="F43" s="29">
        <v>1</v>
      </c>
      <c r="G43" s="29">
        <v>1</v>
      </c>
      <c r="H43" s="47">
        <v>47050</v>
      </c>
      <c r="I43" s="68">
        <v>1.3448888242462986</v>
      </c>
      <c r="J43" s="125">
        <v>1.3448888242462986</v>
      </c>
      <c r="K43" s="117">
        <v>69999.995582330084</v>
      </c>
      <c r="L43" s="46">
        <v>0</v>
      </c>
      <c r="M43" s="46">
        <v>6348.9015354347111</v>
      </c>
      <c r="N43" s="46">
        <v>22903.88</v>
      </c>
      <c r="O43" s="46">
        <v>0</v>
      </c>
      <c r="P43" s="46">
        <v>6506.1660430583979</v>
      </c>
      <c r="Q43" s="46">
        <v>0</v>
      </c>
      <c r="R43" s="46">
        <v>34241.048003836971</v>
      </c>
      <c r="S43" s="46">
        <v>211630.05118115703</v>
      </c>
      <c r="T43" s="54">
        <v>4.3368086899420177E-19</v>
      </c>
      <c r="U43" s="54">
        <v>0</v>
      </c>
      <c r="V43" s="54">
        <v>1.7500000000000002E-2</v>
      </c>
      <c r="W43" s="54">
        <v>3.2500000000000001E-2</v>
      </c>
      <c r="X43" s="46">
        <v>6500</v>
      </c>
      <c r="Y43" s="46">
        <v>6500</v>
      </c>
      <c r="Z43" s="46">
        <v>0</v>
      </c>
      <c r="AA43" s="46">
        <v>0</v>
      </c>
      <c r="AB43" s="46">
        <v>0</v>
      </c>
      <c r="AC43" s="46">
        <v>5653.9766633876043</v>
      </c>
      <c r="AD43" s="46">
        <v>0</v>
      </c>
      <c r="AE43" s="46">
        <v>5653.9766633876043</v>
      </c>
      <c r="AF43" s="46">
        <v>34241.048003836971</v>
      </c>
      <c r="AG43" s="46">
        <v>265167.2156104265</v>
      </c>
      <c r="AH43" s="46">
        <v>34241.048003836971</v>
      </c>
      <c r="AI43" s="46">
        <v>373253.60972067941</v>
      </c>
      <c r="AJ43" s="300">
        <v>1203</v>
      </c>
      <c r="AK43" s="300">
        <v>1121.8984615384616</v>
      </c>
      <c r="AL43" s="300">
        <v>1203</v>
      </c>
      <c r="AM43" s="300">
        <v>98.2</v>
      </c>
      <c r="AN43" s="300">
        <v>15.763384762960525</v>
      </c>
      <c r="AO43" s="300">
        <v>1316.9633847629605</v>
      </c>
      <c r="AP43" s="300">
        <v>34241.048003836971</v>
      </c>
      <c r="AQ43" s="300">
        <v>1782.6480038369737</v>
      </c>
      <c r="AR43" s="304"/>
      <c r="AS43" s="130">
        <v>2.6243902439024396E-2</v>
      </c>
      <c r="AT43" s="5">
        <v>0</v>
      </c>
      <c r="AU43" s="5"/>
      <c r="AV43" s="304">
        <v>0</v>
      </c>
      <c r="AW43" s="154">
        <v>0</v>
      </c>
      <c r="AX43" s="154">
        <v>6348.9015354347111</v>
      </c>
      <c r="AY43" s="154">
        <v>0</v>
      </c>
      <c r="AZ43" s="154">
        <v>0</v>
      </c>
      <c r="BA43" s="154">
        <v>0</v>
      </c>
      <c r="BB43" s="154">
        <v>6348.9015354347111</v>
      </c>
      <c r="BC43" s="146">
        <v>0</v>
      </c>
      <c r="BD43" s="146">
        <v>0</v>
      </c>
      <c r="BE43" s="146">
        <v>8538.5667212463086</v>
      </c>
      <c r="BF43" s="5">
        <v>0</v>
      </c>
      <c r="BG43" s="250">
        <v>93940.484373603962</v>
      </c>
      <c r="BH43" s="152">
        <v>2.5000000000000001E-2</v>
      </c>
      <c r="BI43" s="152">
        <v>2.5000000000000001E-2</v>
      </c>
      <c r="BJ43" s="5">
        <v>0</v>
      </c>
      <c r="BK43" s="5">
        <v>0</v>
      </c>
      <c r="BL43" s="5">
        <v>0</v>
      </c>
      <c r="BM43" s="5">
        <v>7829.6259199504548</v>
      </c>
      <c r="BN43" s="5">
        <v>184123.09383527515</v>
      </c>
      <c r="BO43" s="5">
        <v>0</v>
      </c>
      <c r="BP43" s="5"/>
      <c r="BQ43" s="5">
        <v>104097.82390634308</v>
      </c>
      <c r="BR43" s="5">
        <v>99330.941084651568</v>
      </c>
      <c r="BS43" s="5">
        <v>0</v>
      </c>
      <c r="BT43" s="5">
        <v>0</v>
      </c>
      <c r="BU43" s="5">
        <v>45306.019231372848</v>
      </c>
      <c r="BV43" s="5">
        <v>6506.1660430583979</v>
      </c>
      <c r="BW43" s="5">
        <v>0</v>
      </c>
      <c r="BY43" s="5">
        <f t="shared" si="1"/>
        <v>70000</v>
      </c>
      <c r="BZ43" s="5">
        <f t="shared" si="2"/>
        <v>34241.048003836971</v>
      </c>
      <c r="CA43" s="5">
        <f t="shared" si="3"/>
        <v>0</v>
      </c>
      <c r="CB43" s="5">
        <f t="shared" si="0"/>
        <v>6348.9015354347111</v>
      </c>
      <c r="CC43" s="5">
        <f t="shared" si="4"/>
        <v>6506.1660430583979</v>
      </c>
      <c r="CD43" s="5"/>
      <c r="CE43" s="5">
        <f t="shared" si="5"/>
        <v>283454.03491992672</v>
      </c>
      <c r="CF43" s="5"/>
      <c r="CG43" s="5"/>
      <c r="CI43" s="46">
        <v>0</v>
      </c>
      <c r="CJ43" s="46">
        <v>0</v>
      </c>
      <c r="CK43" s="5">
        <v>0</v>
      </c>
      <c r="CL43" s="46">
        <v>0</v>
      </c>
      <c r="CM43" s="142">
        <v>1</v>
      </c>
      <c r="CN43" s="203">
        <v>0.04</v>
      </c>
      <c r="CO43" s="152">
        <v>0.06</v>
      </c>
      <c r="CP43" s="152">
        <v>0.06</v>
      </c>
      <c r="CQ43" s="152">
        <v>0.02</v>
      </c>
      <c r="CR43" s="250"/>
      <c r="CS43" s="250"/>
      <c r="CT43" s="250"/>
      <c r="CU43" s="250"/>
      <c r="CV43" s="46">
        <v>56760.537762658038</v>
      </c>
      <c r="CW43" s="46">
        <v>59484.470803624623</v>
      </c>
      <c r="CX43" s="5">
        <v>25889.153846498768</v>
      </c>
      <c r="CY43" s="5">
        <v>4038.869554836001</v>
      </c>
      <c r="CZ43" s="5">
        <v>0</v>
      </c>
      <c r="DA43" s="46">
        <v>3717.8091674619413</v>
      </c>
      <c r="DB43" s="46">
        <v>0</v>
      </c>
      <c r="DC43" s="46">
        <v>39999.520000000033</v>
      </c>
      <c r="DD43" s="46">
        <v>29741.878494987515</v>
      </c>
      <c r="DE43" s="46">
        <v>0</v>
      </c>
      <c r="DF43" s="54"/>
      <c r="DG43" s="54"/>
      <c r="DH43" s="152"/>
      <c r="DI43" s="250"/>
      <c r="DJ43" s="250"/>
      <c r="DK43" s="250"/>
      <c r="DL43" s="250"/>
      <c r="DO43" s="5"/>
      <c r="DP43" s="5"/>
      <c r="DQ43" s="5"/>
      <c r="DW43" s="54"/>
      <c r="DX43" s="54"/>
      <c r="DY43" s="152"/>
      <c r="DZ43" s="250"/>
      <c r="EA43" s="250"/>
      <c r="EB43" s="250"/>
      <c r="EC43" s="250"/>
      <c r="ED43" s="425"/>
      <c r="EF43" s="5"/>
      <c r="EG43" s="5"/>
      <c r="EH43" s="5"/>
      <c r="EN43" s="63"/>
      <c r="EO43" s="89"/>
      <c r="EP43" s="89"/>
      <c r="ER43" s="220"/>
      <c r="ES43" s="89"/>
      <c r="EU43" s="5"/>
      <c r="EV43" s="46">
        <v>0</v>
      </c>
      <c r="EX43" s="5"/>
      <c r="FE43" s="53"/>
      <c r="FF43" s="54"/>
      <c r="FH43" s="54"/>
      <c r="FI43" s="54"/>
      <c r="FL43" s="46">
        <v>0</v>
      </c>
      <c r="FU43" s="45">
        <v>0</v>
      </c>
      <c r="FV43" s="46">
        <v>0</v>
      </c>
      <c r="FW43" s="5">
        <v>0</v>
      </c>
      <c r="FX43" s="46">
        <v>0</v>
      </c>
      <c r="FY43" s="63">
        <v>1</v>
      </c>
      <c r="FZ43" s="203">
        <v>0.04</v>
      </c>
      <c r="GA43" s="152">
        <v>0.06</v>
      </c>
      <c r="GB43" s="54">
        <v>0.06</v>
      </c>
      <c r="GC43" s="152">
        <v>0.02</v>
      </c>
      <c r="GD43" s="250"/>
      <c r="GE43" s="250"/>
      <c r="GF43" s="250"/>
      <c r="GG43" s="250"/>
      <c r="GH43" s="46">
        <v>42570.40332199353</v>
      </c>
      <c r="GI43" s="46">
        <v>44613.353102718465</v>
      </c>
      <c r="GJ43" s="5">
        <v>19416.865384874076</v>
      </c>
      <c r="GK43" s="5">
        <v>3029.1521661270008</v>
      </c>
      <c r="GL43" s="5">
        <v>0</v>
      </c>
      <c r="GM43" s="45">
        <v>2788.3568755964566</v>
      </c>
      <c r="GN43" s="46">
        <v>0</v>
      </c>
      <c r="GO43" s="46">
        <v>29999.64000000001</v>
      </c>
      <c r="GP43" s="46">
        <v>22306.408871240626</v>
      </c>
      <c r="GQ43" s="46">
        <v>0</v>
      </c>
      <c r="GR43" s="54"/>
      <c r="GS43" s="54"/>
      <c r="GT43" s="152"/>
      <c r="GU43" s="250"/>
      <c r="GV43" s="250"/>
      <c r="GW43" s="250"/>
      <c r="GX43" s="250"/>
      <c r="HA43" s="5"/>
      <c r="HC43" s="5"/>
      <c r="HI43" s="54"/>
      <c r="HJ43" s="54"/>
      <c r="HK43" s="152"/>
      <c r="HL43" s="250"/>
      <c r="HM43" s="250"/>
      <c r="HN43" s="250"/>
      <c r="HO43" s="250"/>
      <c r="HR43" s="5"/>
      <c r="HT43" s="5"/>
      <c r="HZ43" s="63"/>
      <c r="IA43" s="89"/>
      <c r="IB43" s="89"/>
      <c r="ID43" s="89"/>
      <c r="IE43" s="89"/>
      <c r="IF43" s="5"/>
      <c r="IG43" s="5"/>
      <c r="IH43" s="46">
        <v>0</v>
      </c>
      <c r="IJ43" s="5"/>
      <c r="IP43" s="63"/>
      <c r="IQ43" s="89"/>
      <c r="IR43" s="89"/>
      <c r="IT43" s="89"/>
      <c r="IU43" s="89"/>
      <c r="IV43" s="5"/>
      <c r="IW43" s="5"/>
      <c r="IX43" s="46">
        <v>0</v>
      </c>
      <c r="IY43" s="5"/>
      <c r="IZ43" s="5"/>
    </row>
    <row r="44" spans="1:260" s="46" customFormat="1">
      <c r="A44" s="86">
        <v>14</v>
      </c>
      <c r="B44" s="117">
        <v>184123.09383527515</v>
      </c>
      <c r="C44" s="117">
        <v>0</v>
      </c>
      <c r="D44" s="117">
        <v>0</v>
      </c>
      <c r="E44" s="117">
        <v>0</v>
      </c>
      <c r="F44" s="29">
        <v>1</v>
      </c>
      <c r="G44" s="29">
        <v>1</v>
      </c>
      <c r="H44" s="47">
        <v>47415</v>
      </c>
      <c r="I44" s="68">
        <v>1.378511044852456</v>
      </c>
      <c r="J44" s="125">
        <v>1.378511044852456</v>
      </c>
      <c r="K44" s="117">
        <v>70000.003592517154</v>
      </c>
      <c r="L44" s="46">
        <v>0</v>
      </c>
      <c r="M44" s="46">
        <v>5523.6928150582544</v>
      </c>
      <c r="N44" s="46">
        <v>23897.78</v>
      </c>
      <c r="O44" s="46">
        <v>0</v>
      </c>
      <c r="P44" s="46">
        <v>6347.4790663984368</v>
      </c>
      <c r="Q44" s="46">
        <v>0</v>
      </c>
      <c r="R44" s="46">
        <v>34231.051711060463</v>
      </c>
      <c r="S44" s="46">
        <v>184123.09383527515</v>
      </c>
      <c r="T44" s="54">
        <v>4.3368086899420177E-19</v>
      </c>
      <c r="U44" s="54">
        <v>0</v>
      </c>
      <c r="V44" s="54">
        <v>1.7500000000000002E-2</v>
      </c>
      <c r="W44" s="54">
        <v>3.2500000000000001E-2</v>
      </c>
      <c r="X44" s="46">
        <v>6500</v>
      </c>
      <c r="Y44" s="46">
        <v>6500</v>
      </c>
      <c r="Z44" s="46">
        <v>0</v>
      </c>
      <c r="AA44" s="46">
        <v>0</v>
      </c>
      <c r="AB44" s="46">
        <v>0</v>
      </c>
      <c r="AC44" s="46">
        <v>4760.0005496464428</v>
      </c>
      <c r="AD44" s="46">
        <v>0</v>
      </c>
      <c r="AE44" s="46">
        <v>4760.0005496464428</v>
      </c>
      <c r="AF44" s="46">
        <v>34231.051711060463</v>
      </c>
      <c r="AG44" s="46">
        <v>229258.0831800157</v>
      </c>
      <c r="AH44" s="46">
        <v>34231.051711060463</v>
      </c>
      <c r="AI44" s="46">
        <v>373253.60972067941</v>
      </c>
      <c r="AJ44" s="300">
        <v>1203</v>
      </c>
      <c r="AK44" s="300">
        <v>1121.8984615384616</v>
      </c>
      <c r="AL44" s="300">
        <v>1203</v>
      </c>
      <c r="AM44" s="300">
        <v>98.2</v>
      </c>
      <c r="AN44" s="300">
        <v>15.378911963863928</v>
      </c>
      <c r="AO44" s="300">
        <v>1316.5789119638639</v>
      </c>
      <c r="AP44" s="300">
        <v>34231.051711060463</v>
      </c>
      <c r="AQ44" s="300">
        <v>1772.651711060462</v>
      </c>
      <c r="AR44" s="304"/>
      <c r="AS44" s="130">
        <v>2.6243902439024396E-2</v>
      </c>
      <c r="AT44" s="5">
        <v>0</v>
      </c>
      <c r="AU44" s="5"/>
      <c r="AV44" s="304">
        <v>0</v>
      </c>
      <c r="AW44" s="154">
        <v>0</v>
      </c>
      <c r="AX44" s="154">
        <v>5523.6928150582544</v>
      </c>
      <c r="AY44" s="154">
        <v>0</v>
      </c>
      <c r="AZ44" s="154">
        <v>0</v>
      </c>
      <c r="BA44" s="154">
        <v>0</v>
      </c>
      <c r="BB44" s="154">
        <v>5523.6928150582544</v>
      </c>
      <c r="BC44" s="146">
        <v>0</v>
      </c>
      <c r="BD44" s="146">
        <v>0</v>
      </c>
      <c r="BE44" s="146">
        <v>7614.4715539299586</v>
      </c>
      <c r="BF44" s="5">
        <v>0</v>
      </c>
      <c r="BG44" s="250">
        <v>96288.996482944058</v>
      </c>
      <c r="BH44" s="152">
        <v>2.5000000000000001E-2</v>
      </c>
      <c r="BI44" s="152">
        <v>2.5000000000000001E-2</v>
      </c>
      <c r="BJ44" s="5">
        <v>0</v>
      </c>
      <c r="BK44" s="5">
        <v>0</v>
      </c>
      <c r="BL44" s="5">
        <v>0</v>
      </c>
      <c r="BM44" s="5">
        <v>7447.6929482455544</v>
      </c>
      <c r="BN44" s="5">
        <v>156317.37935148797</v>
      </c>
      <c r="BO44" s="5">
        <v>0</v>
      </c>
      <c r="BP44" s="5"/>
      <c r="BQ44" s="5">
        <v>99443.043162563525</v>
      </c>
      <c r="BR44" s="5">
        <v>96375.250250411977</v>
      </c>
      <c r="BS44" s="5">
        <v>0</v>
      </c>
      <c r="BT44" s="5">
        <v>0</v>
      </c>
      <c r="BU44" s="5">
        <v>37305.363424790092</v>
      </c>
      <c r="BV44" s="5">
        <v>6347.4790663984368</v>
      </c>
      <c r="BW44" s="5">
        <v>0</v>
      </c>
      <c r="BY44" s="5">
        <f t="shared" si="1"/>
        <v>70000</v>
      </c>
      <c r="BZ44" s="5">
        <f t="shared" si="2"/>
        <v>34231.051711060463</v>
      </c>
      <c r="CA44" s="5">
        <f t="shared" si="3"/>
        <v>0</v>
      </c>
      <c r="CB44" s="5">
        <f t="shared" si="0"/>
        <v>5523.6928150582544</v>
      </c>
      <c r="CC44" s="5">
        <f t="shared" si="4"/>
        <v>6347.4790663984368</v>
      </c>
      <c r="CD44" s="5"/>
      <c r="CE44" s="5">
        <f t="shared" si="5"/>
        <v>252692.62960189994</v>
      </c>
      <c r="CF44" s="5"/>
      <c r="CG44" s="5"/>
      <c r="CI44" s="46">
        <v>0</v>
      </c>
      <c r="CJ44" s="46">
        <v>0</v>
      </c>
      <c r="CK44" s="5">
        <v>0</v>
      </c>
      <c r="CL44" s="46">
        <v>0</v>
      </c>
      <c r="CM44" s="63">
        <v>1</v>
      </c>
      <c r="CN44" s="203">
        <v>0.04</v>
      </c>
      <c r="CO44" s="152">
        <v>0.06</v>
      </c>
      <c r="CP44" s="54">
        <v>0.06</v>
      </c>
      <c r="CQ44" s="152">
        <v>0.02</v>
      </c>
      <c r="CR44" s="250"/>
      <c r="CS44" s="250"/>
      <c r="CT44" s="250"/>
      <c r="CU44" s="250"/>
      <c r="CV44" s="46">
        <v>55071.571571663982</v>
      </c>
      <c r="CW44" s="46">
        <v>56824.596092893444</v>
      </c>
      <c r="CX44" s="5">
        <v>21317.350528451479</v>
      </c>
      <c r="CY44" s="5">
        <v>3940.3605413034161</v>
      </c>
      <c r="CZ44" s="5">
        <v>0</v>
      </c>
      <c r="DA44" s="46">
        <v>3627.1308950848206</v>
      </c>
      <c r="DB44" s="46">
        <v>0</v>
      </c>
      <c r="DC44" s="46">
        <v>34999.480000000032</v>
      </c>
      <c r="DD44" s="46">
        <v>25389.335929293244</v>
      </c>
      <c r="DE44" s="46">
        <v>0</v>
      </c>
      <c r="DF44" s="54"/>
      <c r="DG44" s="54"/>
      <c r="DH44" s="152"/>
      <c r="DI44" s="250"/>
      <c r="DJ44" s="250"/>
      <c r="DK44" s="250"/>
      <c r="DL44" s="250"/>
      <c r="DO44" s="5"/>
      <c r="DP44" s="5"/>
      <c r="DQ44" s="5"/>
      <c r="DW44" s="54"/>
      <c r="DX44" s="54"/>
      <c r="DY44" s="152"/>
      <c r="DZ44" s="250"/>
      <c r="EA44" s="250"/>
      <c r="EB44" s="250"/>
      <c r="EC44" s="250"/>
      <c r="ED44" s="425"/>
      <c r="EF44" s="5"/>
      <c r="EG44" s="5"/>
      <c r="EH44" s="5"/>
      <c r="EN44" s="63"/>
      <c r="EO44" s="89"/>
      <c r="EP44" s="89"/>
      <c r="ER44" s="220"/>
      <c r="ES44" s="89"/>
      <c r="EU44" s="5"/>
      <c r="EV44" s="46">
        <v>0</v>
      </c>
      <c r="EX44" s="5"/>
      <c r="FE44" s="53"/>
      <c r="FF44" s="54"/>
      <c r="FH44" s="54"/>
      <c r="FI44" s="54"/>
      <c r="FL44" s="46">
        <v>0</v>
      </c>
      <c r="FU44" s="45">
        <v>0</v>
      </c>
      <c r="FV44" s="46">
        <v>0</v>
      </c>
      <c r="FW44" s="5">
        <v>0</v>
      </c>
      <c r="FX44" s="46">
        <v>0</v>
      </c>
      <c r="FY44" s="63">
        <v>1</v>
      </c>
      <c r="FZ44" s="203">
        <v>0.04</v>
      </c>
      <c r="GA44" s="152">
        <v>0.06</v>
      </c>
      <c r="GB44" s="54">
        <v>0.06</v>
      </c>
      <c r="GC44" s="152">
        <v>0.02</v>
      </c>
      <c r="GD44" s="250"/>
      <c r="GE44" s="250"/>
      <c r="GF44" s="250"/>
      <c r="GG44" s="250"/>
      <c r="GH44" s="46">
        <v>41303.678678747987</v>
      </c>
      <c r="GI44" s="46">
        <v>42618.447069670081</v>
      </c>
      <c r="GJ44" s="5">
        <v>15988.012896338611</v>
      </c>
      <c r="GK44" s="5">
        <v>2955.2704059775619</v>
      </c>
      <c r="GL44" s="5">
        <v>0</v>
      </c>
      <c r="GM44" s="45">
        <v>2720.3481713136161</v>
      </c>
      <c r="GN44" s="46">
        <v>0</v>
      </c>
      <c r="GO44" s="46">
        <v>26249.610000000008</v>
      </c>
      <c r="GP44" s="46">
        <v>19042.001946969922</v>
      </c>
      <c r="GQ44" s="46">
        <v>0</v>
      </c>
      <c r="GR44" s="54"/>
      <c r="GS44" s="54"/>
      <c r="GT44" s="152"/>
      <c r="GU44" s="250"/>
      <c r="GV44" s="250"/>
      <c r="GW44" s="250"/>
      <c r="GX44" s="250"/>
      <c r="HA44" s="5"/>
      <c r="HC44" s="5"/>
      <c r="HI44" s="54"/>
      <c r="HJ44" s="54"/>
      <c r="HK44" s="152"/>
      <c r="HL44" s="250"/>
      <c r="HM44" s="250"/>
      <c r="HN44" s="250"/>
      <c r="HO44" s="250"/>
      <c r="HR44" s="5"/>
      <c r="HT44" s="5"/>
      <c r="HZ44" s="63"/>
      <c r="IA44" s="89"/>
      <c r="IB44" s="89"/>
      <c r="ID44" s="89"/>
      <c r="IE44" s="89"/>
      <c r="IF44" s="5"/>
      <c r="IG44" s="5"/>
      <c r="IH44" s="46">
        <v>0</v>
      </c>
      <c r="IJ44" s="5"/>
      <c r="IP44" s="63"/>
      <c r="IQ44" s="89"/>
      <c r="IR44" s="89"/>
      <c r="IT44" s="89"/>
      <c r="IU44" s="89"/>
      <c r="IV44" s="5"/>
      <c r="IW44" s="5"/>
      <c r="IX44" s="46">
        <v>0</v>
      </c>
      <c r="IZ44" s="5"/>
    </row>
    <row r="45" spans="1:260" s="211" customFormat="1">
      <c r="A45" s="206">
        <v>15</v>
      </c>
      <c r="B45" s="207">
        <v>156317.37935148797</v>
      </c>
      <c r="C45" s="207">
        <v>0</v>
      </c>
      <c r="D45" s="207">
        <v>0</v>
      </c>
      <c r="E45" s="207">
        <v>0</v>
      </c>
      <c r="F45" s="208">
        <v>1</v>
      </c>
      <c r="G45" s="208">
        <v>1</v>
      </c>
      <c r="H45" s="209">
        <v>47780</v>
      </c>
      <c r="I45" s="210">
        <v>1.4129738209737674</v>
      </c>
      <c r="J45" s="210">
        <v>1.4129738209737674</v>
      </c>
      <c r="K45" s="207">
        <v>70000.003114650885</v>
      </c>
      <c r="L45" s="211">
        <v>0</v>
      </c>
      <c r="M45" s="211">
        <v>4689.5213805446392</v>
      </c>
      <c r="N45" s="211">
        <v>24896.52</v>
      </c>
      <c r="O45" s="211">
        <v>0</v>
      </c>
      <c r="P45" s="211">
        <v>6192.6625038033526</v>
      </c>
      <c r="Q45" s="211">
        <v>0</v>
      </c>
      <c r="R45" s="211">
        <v>34221.299230302888</v>
      </c>
      <c r="S45" s="211">
        <v>156317.37935148797</v>
      </c>
      <c r="T45" s="205">
        <v>4.3368086899420177E-19</v>
      </c>
      <c r="U45" s="205">
        <v>0</v>
      </c>
      <c r="V45" s="205">
        <v>1.7500000000000002E-2</v>
      </c>
      <c r="W45" s="205">
        <v>3.2500000000000001E-2</v>
      </c>
      <c r="X45" s="211">
        <v>6500</v>
      </c>
      <c r="Y45" s="211">
        <v>6500</v>
      </c>
      <c r="Z45" s="211">
        <v>0</v>
      </c>
      <c r="AA45" s="211">
        <v>0</v>
      </c>
      <c r="AB45" s="211">
        <v>0</v>
      </c>
      <c r="AC45" s="211">
        <v>3856.3148289233591</v>
      </c>
      <c r="AD45" s="211">
        <v>0</v>
      </c>
      <c r="AE45" s="211">
        <v>3856.3148289233591</v>
      </c>
      <c r="AF45" s="211">
        <v>34221.299230302888</v>
      </c>
      <c r="AG45" s="211">
        <v>193433.10398510826</v>
      </c>
      <c r="AH45" s="211">
        <v>34221.299230302888</v>
      </c>
      <c r="AI45" s="211">
        <v>373253.60972067941</v>
      </c>
      <c r="AJ45" s="381">
        <v>1203</v>
      </c>
      <c r="AK45" s="381">
        <v>1121.8984615384616</v>
      </c>
      <c r="AL45" s="381">
        <v>1203</v>
      </c>
      <c r="AM45" s="381">
        <v>98.2</v>
      </c>
      <c r="AN45" s="381">
        <v>15.003816550111148</v>
      </c>
      <c r="AO45" s="381">
        <v>1316.203816550111</v>
      </c>
      <c r="AP45" s="381">
        <v>34221.299230302888</v>
      </c>
      <c r="AQ45" s="381">
        <v>1762.8992303028897</v>
      </c>
      <c r="AR45" s="305"/>
      <c r="AS45" s="309">
        <v>2.6243902439024396E-2</v>
      </c>
      <c r="AT45" s="211">
        <v>0</v>
      </c>
      <c r="AV45" s="305">
        <v>0</v>
      </c>
      <c r="AW45" s="213">
        <v>0</v>
      </c>
      <c r="AX45" s="213">
        <v>4689.5213805446392</v>
      </c>
      <c r="AY45" s="213">
        <v>0</v>
      </c>
      <c r="AZ45" s="213">
        <v>0</v>
      </c>
      <c r="BA45" s="213">
        <v>0</v>
      </c>
      <c r="BB45" s="213">
        <v>4689.5213805446392</v>
      </c>
      <c r="BC45" s="212">
        <v>0</v>
      </c>
      <c r="BD45" s="212">
        <v>0</v>
      </c>
      <c r="BE45" s="212">
        <v>6626.1709436063356</v>
      </c>
      <c r="BF45" s="211">
        <v>0</v>
      </c>
      <c r="BG45" s="251">
        <v>98696.221395017652</v>
      </c>
      <c r="BH45" s="205">
        <v>2.5000000000000001E-2</v>
      </c>
      <c r="BI45" s="205">
        <v>2.5000000000000001E-2</v>
      </c>
      <c r="BJ45" s="211">
        <v>0</v>
      </c>
      <c r="BK45" s="211">
        <v>0</v>
      </c>
      <c r="BL45" s="211">
        <v>0</v>
      </c>
      <c r="BM45" s="211">
        <v>7084.3908532091864</v>
      </c>
      <c r="BN45" s="211">
        <v>128215.47253803707</v>
      </c>
      <c r="BO45" s="211">
        <v>0</v>
      </c>
      <c r="BP45" s="5"/>
      <c r="BQ45" s="211">
        <v>94953.398764461279</v>
      </c>
      <c r="BR45" s="211">
        <v>93473.44995028121</v>
      </c>
      <c r="BS45" s="211">
        <v>0</v>
      </c>
      <c r="BT45" s="211">
        <v>0</v>
      </c>
      <c r="BU45" s="211">
        <v>29668.031685374743</v>
      </c>
      <c r="BV45" s="211">
        <v>6192.6625038033526</v>
      </c>
      <c r="BW45" s="211">
        <v>0</v>
      </c>
      <c r="BY45" s="211">
        <f t="shared" si="1"/>
        <v>70000</v>
      </c>
      <c r="BZ45" s="211">
        <f t="shared" si="2"/>
        <v>34221.299230302888</v>
      </c>
      <c r="CA45" s="211">
        <f t="shared" si="3"/>
        <v>0</v>
      </c>
      <c r="CB45" s="211">
        <f t="shared" si="0"/>
        <v>4689.5213805446392</v>
      </c>
      <c r="CC45" s="211">
        <f t="shared" si="4"/>
        <v>6192.6625038033526</v>
      </c>
      <c r="CE45" s="5">
        <f t="shared" si="5"/>
        <v>221688.92248831829</v>
      </c>
      <c r="CI45" s="211">
        <v>0</v>
      </c>
      <c r="CJ45" s="211">
        <v>0</v>
      </c>
      <c r="CK45" s="211">
        <v>0</v>
      </c>
      <c r="CL45" s="211">
        <v>0</v>
      </c>
      <c r="CM45" s="214">
        <v>1</v>
      </c>
      <c r="CN45" s="205">
        <v>0.04</v>
      </c>
      <c r="CO45" s="205">
        <v>0.06</v>
      </c>
      <c r="CP45" s="205">
        <v>0.06</v>
      </c>
      <c r="CQ45" s="205">
        <v>0.02</v>
      </c>
      <c r="CR45" s="251"/>
      <c r="CS45" s="251"/>
      <c r="CT45" s="251"/>
      <c r="CU45" s="251"/>
      <c r="CV45" s="211">
        <v>53413.399971589264</v>
      </c>
      <c r="CW45" s="211">
        <v>54259.085008263588</v>
      </c>
      <c r="CX45" s="211">
        <v>16953.160963071281</v>
      </c>
      <c r="CY45" s="211">
        <v>3844.2541866374791</v>
      </c>
      <c r="CZ45" s="211">
        <v>0</v>
      </c>
      <c r="DA45" s="211">
        <v>3538.6642878876301</v>
      </c>
      <c r="DB45" s="211">
        <v>0</v>
      </c>
      <c r="DC45" s="211">
        <v>29999.440000000031</v>
      </c>
      <c r="DD45" s="211">
        <v>21231.419545569192</v>
      </c>
      <c r="DE45" s="211">
        <v>0</v>
      </c>
      <c r="DF45" s="205"/>
      <c r="DG45" s="205"/>
      <c r="DH45" s="205"/>
      <c r="DI45" s="251"/>
      <c r="DJ45" s="251"/>
      <c r="DK45" s="251"/>
      <c r="DL45" s="251"/>
      <c r="DW45" s="205"/>
      <c r="DX45" s="205"/>
      <c r="DY45" s="205"/>
      <c r="DZ45" s="251"/>
      <c r="EA45" s="251"/>
      <c r="EB45" s="251"/>
      <c r="EC45" s="251"/>
      <c r="ED45" s="426"/>
      <c r="EN45" s="214"/>
      <c r="EO45" s="215"/>
      <c r="EP45" s="215"/>
      <c r="ER45" s="221"/>
      <c r="ES45" s="215"/>
      <c r="EV45" s="211">
        <v>0</v>
      </c>
      <c r="FE45" s="216"/>
      <c r="FF45" s="205"/>
      <c r="FH45" s="205"/>
      <c r="FI45" s="205"/>
      <c r="FL45" s="211">
        <v>0</v>
      </c>
      <c r="FU45" s="212">
        <v>0</v>
      </c>
      <c r="FV45" s="211">
        <v>0</v>
      </c>
      <c r="FW45" s="211">
        <v>0</v>
      </c>
      <c r="FX45" s="211">
        <v>0</v>
      </c>
      <c r="FY45" s="214">
        <v>1</v>
      </c>
      <c r="FZ45" s="205">
        <v>0.04</v>
      </c>
      <c r="GA45" s="205">
        <v>0.06</v>
      </c>
      <c r="GB45" s="205">
        <v>0.06</v>
      </c>
      <c r="GC45" s="205">
        <v>0.02</v>
      </c>
      <c r="GD45" s="251"/>
      <c r="GE45" s="251"/>
      <c r="GF45" s="251"/>
      <c r="GG45" s="251"/>
      <c r="GH45" s="211">
        <v>40060.049978691946</v>
      </c>
      <c r="GI45" s="211">
        <v>40694.313756197691</v>
      </c>
      <c r="GJ45" s="211">
        <v>12714.870722303462</v>
      </c>
      <c r="GK45" s="211">
        <v>2883.1906399781092</v>
      </c>
      <c r="GL45" s="211">
        <v>0</v>
      </c>
      <c r="GM45" s="212">
        <v>2653.998215915723</v>
      </c>
      <c r="GN45" s="211">
        <v>0</v>
      </c>
      <c r="GO45" s="211">
        <v>22499.580000000005</v>
      </c>
      <c r="GP45" s="211">
        <v>15923.564659176882</v>
      </c>
      <c r="GQ45" s="211">
        <v>0</v>
      </c>
      <c r="GR45" s="205"/>
      <c r="GS45" s="205"/>
      <c r="GT45" s="205"/>
      <c r="GU45" s="251"/>
      <c r="GV45" s="251"/>
      <c r="GW45" s="251"/>
      <c r="GX45" s="251"/>
      <c r="HI45" s="205"/>
      <c r="HJ45" s="205"/>
      <c r="HK45" s="205"/>
      <c r="HL45" s="251"/>
      <c r="HM45" s="251"/>
      <c r="HN45" s="251"/>
      <c r="HO45" s="251"/>
      <c r="HZ45" s="214"/>
      <c r="IA45" s="215"/>
      <c r="IB45" s="215"/>
      <c r="ID45" s="215"/>
      <c r="IE45" s="215"/>
      <c r="IH45" s="211">
        <v>0</v>
      </c>
      <c r="IP45" s="214"/>
      <c r="IQ45" s="215"/>
      <c r="IR45" s="215"/>
      <c r="IT45" s="215"/>
      <c r="IU45" s="215"/>
      <c r="IX45" s="211">
        <v>0</v>
      </c>
    </row>
    <row r="46" spans="1:260" s="46" customFormat="1">
      <c r="A46" s="86">
        <v>16</v>
      </c>
      <c r="B46" s="117">
        <v>128215.47253803707</v>
      </c>
      <c r="C46" s="117">
        <v>0</v>
      </c>
      <c r="D46" s="117">
        <v>0</v>
      </c>
      <c r="E46" s="117">
        <v>0</v>
      </c>
      <c r="F46" s="29">
        <v>1</v>
      </c>
      <c r="G46" s="29">
        <v>1</v>
      </c>
      <c r="H46" s="47">
        <v>48145</v>
      </c>
      <c r="I46" s="68">
        <v>1.4482981664981116</v>
      </c>
      <c r="J46" s="125">
        <v>1.4482981664981116</v>
      </c>
      <c r="K46" s="117">
        <v>70000.000746000864</v>
      </c>
      <c r="L46" s="46">
        <v>0</v>
      </c>
      <c r="M46" s="46">
        <v>3846.4641761411117</v>
      </c>
      <c r="N46" s="46">
        <v>25900.13</v>
      </c>
      <c r="O46" s="46">
        <v>0</v>
      </c>
      <c r="P46" s="46">
        <v>6041.6219549301004</v>
      </c>
      <c r="Q46" s="46">
        <v>0</v>
      </c>
      <c r="R46" s="46">
        <v>34211.784614929646</v>
      </c>
      <c r="S46" s="46">
        <v>128215.47253803707</v>
      </c>
      <c r="T46" s="54">
        <v>4.3368086899420177E-19</v>
      </c>
      <c r="U46" s="54">
        <v>0</v>
      </c>
      <c r="V46" s="54">
        <v>1.7500000000000002E-2</v>
      </c>
      <c r="W46" s="54">
        <v>3.2500000000000001E-2</v>
      </c>
      <c r="X46" s="46">
        <v>6500</v>
      </c>
      <c r="Y46" s="46">
        <v>6500</v>
      </c>
      <c r="Z46" s="46">
        <v>0</v>
      </c>
      <c r="AA46" s="46">
        <v>0</v>
      </c>
      <c r="AB46" s="46">
        <v>0</v>
      </c>
      <c r="AC46" s="46">
        <v>2943.0028574862049</v>
      </c>
      <c r="AD46" s="46">
        <v>0</v>
      </c>
      <c r="AE46" s="46">
        <v>2943.0028574862049</v>
      </c>
      <c r="AF46" s="46">
        <v>34211.784614929646</v>
      </c>
      <c r="AG46" s="46">
        <v>157680.92374125519</v>
      </c>
      <c r="AH46" s="46">
        <v>34211.784614929646</v>
      </c>
      <c r="AI46" s="46">
        <v>373253.60972067941</v>
      </c>
      <c r="AJ46" s="300">
        <v>1203</v>
      </c>
      <c r="AK46" s="300">
        <v>1121.8984615384616</v>
      </c>
      <c r="AL46" s="300">
        <v>1203</v>
      </c>
      <c r="AM46" s="300">
        <v>98.2</v>
      </c>
      <c r="AN46" s="300">
        <v>14.637869804986487</v>
      </c>
      <c r="AO46" s="300">
        <v>1315.8378698049864</v>
      </c>
      <c r="AP46" s="300">
        <v>34211.784614929646</v>
      </c>
      <c r="AQ46" s="300">
        <v>1753.3846149296485</v>
      </c>
      <c r="AR46" s="304"/>
      <c r="AS46" s="130">
        <v>2.6243902439024396E-2</v>
      </c>
      <c r="AT46" s="5">
        <v>0</v>
      </c>
      <c r="AV46" s="304">
        <v>0</v>
      </c>
      <c r="AW46" s="154">
        <v>0</v>
      </c>
      <c r="AX46" s="154">
        <v>3846.4641761411117</v>
      </c>
      <c r="AY46" s="154">
        <v>0</v>
      </c>
      <c r="AZ46" s="154">
        <v>0</v>
      </c>
      <c r="BA46" s="154">
        <v>0</v>
      </c>
      <c r="BB46" s="154">
        <v>3846.4641761411117</v>
      </c>
      <c r="BC46" s="146">
        <v>0</v>
      </c>
      <c r="BD46" s="146">
        <v>0</v>
      </c>
      <c r="BE46" s="146">
        <v>5570.8270138058415</v>
      </c>
      <c r="BF46" s="5">
        <v>0</v>
      </c>
      <c r="BG46" s="250">
        <v>101163.6269298931</v>
      </c>
      <c r="BH46" s="152">
        <v>2.5000000000000001E-2</v>
      </c>
      <c r="BI46" s="152">
        <v>2.5000000000000001E-2</v>
      </c>
      <c r="BJ46" s="5">
        <v>0</v>
      </c>
      <c r="BK46" s="5">
        <v>0</v>
      </c>
      <c r="BL46" s="5">
        <v>0</v>
      </c>
      <c r="BM46" s="5">
        <v>6738.8108115892255</v>
      </c>
      <c r="BN46" s="5">
        <v>99819.846378572751</v>
      </c>
      <c r="BO46" s="5">
        <v>0</v>
      </c>
      <c r="BP46" s="5"/>
      <c r="BQ46" s="5">
        <v>0</v>
      </c>
      <c r="BR46" s="5">
        <v>0</v>
      </c>
      <c r="BS46" s="5">
        <v>0</v>
      </c>
      <c r="BT46" s="5">
        <v>0</v>
      </c>
      <c r="BU46" s="5">
        <v>22381.060350008935</v>
      </c>
      <c r="BV46" s="5">
        <v>6041.6219549301004</v>
      </c>
      <c r="BW46" s="5">
        <v>0</v>
      </c>
      <c r="BY46" s="5">
        <f t="shared" si="1"/>
        <v>70000</v>
      </c>
      <c r="BZ46" s="5">
        <f t="shared" si="2"/>
        <v>34211.784614929646</v>
      </c>
      <c r="CA46" s="5">
        <f t="shared" si="3"/>
        <v>0</v>
      </c>
      <c r="CB46" s="5">
        <f t="shared" si="0"/>
        <v>3846.4641761411117</v>
      </c>
      <c r="CC46" s="5">
        <f t="shared" si="4"/>
        <v>6041.6219549301004</v>
      </c>
      <c r="CD46" s="5"/>
      <c r="CE46" s="5">
        <f t="shared" si="5"/>
        <v>99819.846378572751</v>
      </c>
      <c r="CF46" s="5"/>
      <c r="CG46" s="5"/>
      <c r="CI46" s="46">
        <v>0</v>
      </c>
      <c r="CJ46" s="46">
        <v>0</v>
      </c>
      <c r="CK46" s="5">
        <v>0</v>
      </c>
      <c r="CL46" s="46">
        <v>0</v>
      </c>
      <c r="CM46" s="63">
        <v>1</v>
      </c>
      <c r="CN46" s="203">
        <v>0.04</v>
      </c>
      <c r="CO46" s="152">
        <v>0.06</v>
      </c>
      <c r="CP46" s="54">
        <v>0.06</v>
      </c>
      <c r="CQ46" s="152">
        <v>0.02</v>
      </c>
      <c r="CR46" s="250"/>
      <c r="CS46" s="250"/>
      <c r="CT46" s="250"/>
      <c r="CU46" s="250"/>
      <c r="CV46" s="46">
        <v>0</v>
      </c>
      <c r="CW46" s="46">
        <v>0</v>
      </c>
      <c r="CX46" s="5">
        <v>12789.177342862247</v>
      </c>
      <c r="CY46" s="5">
        <v>3750.4918894024186</v>
      </c>
      <c r="CZ46" s="5">
        <v>0</v>
      </c>
      <c r="DA46" s="46">
        <v>3452.3554028172002</v>
      </c>
      <c r="DB46" s="46">
        <v>0</v>
      </c>
      <c r="DC46" s="46">
        <v>24999.400000000031</v>
      </c>
      <c r="DD46" s="46">
        <v>17261.224641640551</v>
      </c>
      <c r="DE46" s="46">
        <v>0</v>
      </c>
      <c r="DF46" s="54"/>
      <c r="DG46" s="54"/>
      <c r="DH46" s="152"/>
      <c r="DI46" s="250"/>
      <c r="DJ46" s="250"/>
      <c r="DK46" s="250"/>
      <c r="DL46" s="250"/>
      <c r="DO46" s="5"/>
      <c r="DP46" s="5"/>
      <c r="DQ46" s="5"/>
      <c r="DW46" s="54"/>
      <c r="DX46" s="54"/>
      <c r="DY46" s="152"/>
      <c r="DZ46" s="250"/>
      <c r="EA46" s="250"/>
      <c r="EB46" s="250"/>
      <c r="EC46" s="250"/>
      <c r="ED46" s="425"/>
      <c r="EF46" s="5"/>
      <c r="EG46" s="5"/>
      <c r="EH46" s="5"/>
      <c r="EN46" s="63"/>
      <c r="EO46" s="89"/>
      <c r="EP46" s="89"/>
      <c r="ER46" s="220"/>
      <c r="ES46" s="89"/>
      <c r="EU46" s="5"/>
      <c r="EV46" s="46">
        <v>0</v>
      </c>
      <c r="EX46" s="5"/>
      <c r="FE46" s="53"/>
      <c r="FF46" s="54"/>
      <c r="FH46" s="54"/>
      <c r="FI46" s="54"/>
      <c r="FL46" s="46">
        <v>0</v>
      </c>
      <c r="FU46" s="45">
        <v>0</v>
      </c>
      <c r="FV46" s="46">
        <v>0</v>
      </c>
      <c r="FW46" s="5">
        <v>0</v>
      </c>
      <c r="FX46" s="46">
        <v>0</v>
      </c>
      <c r="FY46" s="63">
        <v>1</v>
      </c>
      <c r="FZ46" s="203">
        <v>0.04</v>
      </c>
      <c r="GA46" s="152">
        <v>0.06</v>
      </c>
      <c r="GB46" s="54">
        <v>0.06</v>
      </c>
      <c r="GC46" s="152">
        <v>0.02</v>
      </c>
      <c r="GD46" s="250"/>
      <c r="GE46" s="250"/>
      <c r="GF46" s="250"/>
      <c r="GG46" s="250"/>
      <c r="GH46" s="46">
        <v>0</v>
      </c>
      <c r="GI46" s="46">
        <v>0</v>
      </c>
      <c r="GJ46" s="5">
        <v>9591.8830071466855</v>
      </c>
      <c r="GK46" s="5">
        <v>2812.8689170518137</v>
      </c>
      <c r="GL46" s="5">
        <v>0</v>
      </c>
      <c r="GM46" s="45">
        <v>2589.2665521129006</v>
      </c>
      <c r="GN46" s="46">
        <v>0</v>
      </c>
      <c r="GO46" s="46">
        <v>18749.550000000003</v>
      </c>
      <c r="GP46" s="46">
        <v>12945.918481230397</v>
      </c>
      <c r="GQ46" s="46">
        <v>0</v>
      </c>
      <c r="GR46" s="54"/>
      <c r="GS46" s="54"/>
      <c r="GT46" s="152"/>
      <c r="GU46" s="250"/>
      <c r="GV46" s="250"/>
      <c r="GW46" s="250"/>
      <c r="GX46" s="250"/>
      <c r="HA46" s="5"/>
      <c r="HC46" s="5"/>
      <c r="HI46" s="54"/>
      <c r="HJ46" s="54"/>
      <c r="HK46" s="152"/>
      <c r="HL46" s="250"/>
      <c r="HM46" s="250"/>
      <c r="HN46" s="250"/>
      <c r="HO46" s="250"/>
      <c r="HR46" s="5"/>
      <c r="HT46" s="5"/>
      <c r="HZ46" s="63"/>
      <c r="IA46" s="89"/>
      <c r="IB46" s="89"/>
      <c r="ID46" s="89"/>
      <c r="IE46" s="89"/>
      <c r="IF46" s="5"/>
      <c r="IG46" s="5"/>
      <c r="IH46" s="46">
        <v>0</v>
      </c>
      <c r="IJ46" s="5"/>
      <c r="IP46" s="63"/>
      <c r="IQ46" s="89"/>
      <c r="IR46" s="89"/>
      <c r="IT46" s="89"/>
      <c r="IU46" s="89"/>
      <c r="IV46" s="5"/>
      <c r="IW46" s="5"/>
      <c r="IX46" s="46">
        <v>0</v>
      </c>
      <c r="IZ46" s="5"/>
    </row>
    <row r="47" spans="1:260" s="46" customFormat="1">
      <c r="A47" s="86">
        <v>17</v>
      </c>
      <c r="B47" s="117">
        <v>99819.846378572751</v>
      </c>
      <c r="C47" s="117">
        <v>0</v>
      </c>
      <c r="D47" s="117">
        <v>0</v>
      </c>
      <c r="E47" s="117">
        <v>0</v>
      </c>
      <c r="F47" s="29">
        <v>1</v>
      </c>
      <c r="G47" s="29">
        <v>1</v>
      </c>
      <c r="H47" s="47">
        <v>48511</v>
      </c>
      <c r="I47" s="68">
        <v>1.4845056206605645</v>
      </c>
      <c r="J47" s="68">
        <v>1.4845056206605645</v>
      </c>
      <c r="K47" s="117">
        <v>70000.002776586203</v>
      </c>
      <c r="L47" s="46">
        <v>0</v>
      </c>
      <c r="M47" s="46">
        <v>2994.5953913571825</v>
      </c>
      <c r="N47" s="46">
        <v>26908.639999999999</v>
      </c>
      <c r="O47" s="46">
        <v>0</v>
      </c>
      <c r="P47" s="46">
        <v>5894.2653218830255</v>
      </c>
      <c r="Q47" s="46">
        <v>0</v>
      </c>
      <c r="R47" s="46">
        <v>34202.502063346001</v>
      </c>
      <c r="S47" s="46">
        <v>99819.846378572751</v>
      </c>
      <c r="T47" s="54">
        <v>4.3368086899420177E-19</v>
      </c>
      <c r="U47" s="54">
        <v>0</v>
      </c>
      <c r="V47" s="54">
        <v>1.7500000000000002E-2</v>
      </c>
      <c r="W47" s="54">
        <v>3.2500000000000001E-2</v>
      </c>
      <c r="X47" s="46">
        <v>6500</v>
      </c>
      <c r="Y47" s="46">
        <v>6500</v>
      </c>
      <c r="Z47" s="46">
        <v>0</v>
      </c>
      <c r="AA47" s="46">
        <v>0</v>
      </c>
      <c r="AB47" s="46">
        <v>0</v>
      </c>
      <c r="AC47" s="46">
        <v>2020.1450073036146</v>
      </c>
      <c r="AD47" s="46">
        <v>0</v>
      </c>
      <c r="AE47" s="46">
        <v>2020.1450073036146</v>
      </c>
      <c r="AF47" s="46">
        <v>34202.502063346001</v>
      </c>
      <c r="AG47" s="46">
        <v>121990.55918387388</v>
      </c>
      <c r="AH47" s="46">
        <v>34202.502063346001</v>
      </c>
      <c r="AI47" s="46">
        <v>373253.60972067941</v>
      </c>
      <c r="AJ47" s="300">
        <v>1203</v>
      </c>
      <c r="AK47" s="300">
        <v>1121.8984615384616</v>
      </c>
      <c r="AL47" s="300">
        <v>1203</v>
      </c>
      <c r="AM47" s="300">
        <v>98.2</v>
      </c>
      <c r="AN47" s="300">
        <v>14.280848590230718</v>
      </c>
      <c r="AO47" s="300">
        <v>1315.4808485902308</v>
      </c>
      <c r="AP47" s="300">
        <v>34202.502063346001</v>
      </c>
      <c r="AQ47" s="300">
        <v>1744.1020633459987</v>
      </c>
      <c r="AR47" s="304"/>
      <c r="AS47" s="130">
        <v>2.6243902439024396E-2</v>
      </c>
      <c r="AT47" s="5">
        <v>0</v>
      </c>
      <c r="AU47" s="45"/>
      <c r="AV47" s="304">
        <v>0</v>
      </c>
      <c r="AW47" s="154">
        <v>0</v>
      </c>
      <c r="AX47" s="154">
        <v>2994.5953913571825</v>
      </c>
      <c r="AY47" s="154">
        <v>0</v>
      </c>
      <c r="AZ47" s="154">
        <v>0</v>
      </c>
      <c r="BA47" s="154">
        <v>0</v>
      </c>
      <c r="BB47" s="154">
        <v>2994.5953913571825</v>
      </c>
      <c r="BC47" s="146">
        <v>0</v>
      </c>
      <c r="BD47" s="146">
        <v>0</v>
      </c>
      <c r="BE47" s="146">
        <v>4445.4936900739604</v>
      </c>
      <c r="BF47" s="5">
        <v>0</v>
      </c>
      <c r="BG47" s="250">
        <v>103692.71760314042</v>
      </c>
      <c r="BH47" s="152">
        <v>2.5000000000000001E-2</v>
      </c>
      <c r="BI47" s="152">
        <v>2.5000000000000001E-2</v>
      </c>
      <c r="BJ47" s="5">
        <v>0</v>
      </c>
      <c r="BK47" s="5">
        <v>0</v>
      </c>
      <c r="BL47" s="5">
        <v>0</v>
      </c>
      <c r="BM47" s="5">
        <v>6410.0883329751168</v>
      </c>
      <c r="BN47" s="5">
        <v>71132.884271778297</v>
      </c>
      <c r="BO47" s="5">
        <v>0</v>
      </c>
      <c r="BP47" s="5"/>
      <c r="BQ47" s="5">
        <v>0</v>
      </c>
      <c r="BR47" s="5">
        <v>0</v>
      </c>
      <c r="BS47" s="5">
        <v>0</v>
      </c>
      <c r="BT47" s="5">
        <v>0</v>
      </c>
      <c r="BU47" s="5">
        <v>15431.901993711903</v>
      </c>
      <c r="BV47" s="5">
        <v>5894.2653218830255</v>
      </c>
      <c r="BW47" s="5">
        <v>0</v>
      </c>
      <c r="BY47" s="5">
        <f t="shared" si="1"/>
        <v>70000</v>
      </c>
      <c r="BZ47" s="5">
        <f t="shared" si="2"/>
        <v>34202.502063346001</v>
      </c>
      <c r="CA47" s="5">
        <f t="shared" si="3"/>
        <v>0</v>
      </c>
      <c r="CB47" s="5">
        <f t="shared" si="0"/>
        <v>2994.5953913571825</v>
      </c>
      <c r="CC47" s="5">
        <f t="shared" si="4"/>
        <v>5894.2653218830255</v>
      </c>
      <c r="CD47" s="5"/>
      <c r="CE47" s="5">
        <f t="shared" si="5"/>
        <v>71132.884271778297</v>
      </c>
      <c r="CF47" s="5"/>
      <c r="CG47" s="5"/>
      <c r="CI47" s="46">
        <v>0</v>
      </c>
      <c r="CJ47" s="46">
        <v>0</v>
      </c>
      <c r="CK47" s="5">
        <v>0</v>
      </c>
      <c r="CL47" s="46">
        <v>0</v>
      </c>
      <c r="CM47" s="63">
        <v>1</v>
      </c>
      <c r="CN47" s="203">
        <v>0.04</v>
      </c>
      <c r="CO47" s="152">
        <v>0.06</v>
      </c>
      <c r="CP47" s="54">
        <v>0.06</v>
      </c>
      <c r="CQ47" s="152">
        <v>0.02</v>
      </c>
      <c r="CR47" s="250"/>
      <c r="CS47" s="250"/>
      <c r="CT47" s="250"/>
      <c r="CU47" s="250"/>
      <c r="CV47" s="46">
        <v>0</v>
      </c>
      <c r="CW47" s="46">
        <v>0</v>
      </c>
      <c r="CX47" s="5">
        <v>8818.2297106925162</v>
      </c>
      <c r="CY47" s="5">
        <v>3659.0164774657742</v>
      </c>
      <c r="CZ47" s="5">
        <v>0</v>
      </c>
      <c r="DA47" s="46">
        <v>3368.1516125045855</v>
      </c>
      <c r="DB47" s="46">
        <v>0</v>
      </c>
      <c r="DC47" s="46">
        <v>19999.36000000003</v>
      </c>
      <c r="DD47" s="46">
        <v>13472.067550071559</v>
      </c>
      <c r="DE47" s="46">
        <v>0</v>
      </c>
      <c r="DF47" s="54"/>
      <c r="DG47" s="54"/>
      <c r="DH47" s="152"/>
      <c r="DI47" s="250"/>
      <c r="DJ47" s="250"/>
      <c r="DK47" s="250"/>
      <c r="DL47" s="250"/>
      <c r="DO47" s="5"/>
      <c r="DP47" s="5"/>
      <c r="DQ47" s="5"/>
      <c r="DW47" s="54"/>
      <c r="DX47" s="54"/>
      <c r="DY47" s="152"/>
      <c r="DZ47" s="250"/>
      <c r="EA47" s="250"/>
      <c r="EB47" s="250"/>
      <c r="EC47" s="250"/>
      <c r="ED47" s="425"/>
      <c r="EF47" s="5"/>
      <c r="EG47" s="5"/>
      <c r="EH47" s="5"/>
      <c r="EN47" s="63"/>
      <c r="EO47" s="89"/>
      <c r="EP47" s="89"/>
      <c r="ER47" s="220"/>
      <c r="ES47" s="89"/>
      <c r="EU47" s="5"/>
      <c r="EV47" s="46">
        <v>0</v>
      </c>
      <c r="EX47" s="5"/>
      <c r="FE47" s="53"/>
      <c r="FF47" s="54"/>
      <c r="FH47" s="54"/>
      <c r="FI47" s="54"/>
      <c r="FL47" s="46">
        <v>0</v>
      </c>
      <c r="FU47" s="45">
        <v>0</v>
      </c>
      <c r="FV47" s="46">
        <v>0</v>
      </c>
      <c r="FW47" s="5">
        <v>0</v>
      </c>
      <c r="FX47" s="46">
        <v>0</v>
      </c>
      <c r="FY47" s="63">
        <v>1</v>
      </c>
      <c r="FZ47" s="203">
        <v>0.04</v>
      </c>
      <c r="GA47" s="152">
        <v>0.06</v>
      </c>
      <c r="GB47" s="54">
        <v>0.06</v>
      </c>
      <c r="GC47" s="152">
        <v>0.02</v>
      </c>
      <c r="GD47" s="250"/>
      <c r="GE47" s="250"/>
      <c r="GF47" s="250"/>
      <c r="GG47" s="250"/>
      <c r="GH47" s="46">
        <v>0</v>
      </c>
      <c r="GI47" s="46">
        <v>0</v>
      </c>
      <c r="GJ47" s="5">
        <v>6613.6722830193867</v>
      </c>
      <c r="GK47" s="5">
        <v>2744.2623580993304</v>
      </c>
      <c r="GL47" s="5">
        <v>0</v>
      </c>
      <c r="GM47" s="45">
        <v>2526.1137093784396</v>
      </c>
      <c r="GN47" s="46">
        <v>0</v>
      </c>
      <c r="GO47" s="46">
        <v>14999.520000000002</v>
      </c>
      <c r="GP47" s="46">
        <v>10104.050662553656</v>
      </c>
      <c r="GQ47" s="46">
        <v>0</v>
      </c>
      <c r="GR47" s="54"/>
      <c r="GS47" s="54"/>
      <c r="GT47" s="152"/>
      <c r="GU47" s="250"/>
      <c r="GV47" s="250"/>
      <c r="GW47" s="250"/>
      <c r="GX47" s="250"/>
      <c r="HA47" s="5"/>
      <c r="HC47" s="5"/>
      <c r="HI47" s="54"/>
      <c r="HJ47" s="54"/>
      <c r="HK47" s="152"/>
      <c r="HL47" s="250"/>
      <c r="HM47" s="250"/>
      <c r="HN47" s="250"/>
      <c r="HO47" s="250"/>
      <c r="HR47" s="5"/>
      <c r="HT47" s="5"/>
      <c r="HZ47" s="63"/>
      <c r="IA47" s="89"/>
      <c r="IB47" s="89"/>
      <c r="ID47" s="89"/>
      <c r="IE47" s="89"/>
      <c r="IF47" s="5"/>
      <c r="IG47" s="5"/>
      <c r="IH47" s="46">
        <v>0</v>
      </c>
      <c r="IP47" s="63"/>
      <c r="IQ47" s="89"/>
      <c r="IR47" s="89"/>
      <c r="IT47" s="89"/>
      <c r="IU47" s="89"/>
      <c r="IV47" s="5"/>
      <c r="IW47" s="5"/>
      <c r="IX47" s="46">
        <v>0</v>
      </c>
      <c r="IZ47" s="5"/>
    </row>
    <row r="48" spans="1:260" s="46" customFormat="1">
      <c r="A48" s="86">
        <v>18</v>
      </c>
      <c r="B48" s="117">
        <v>71132.884271778297</v>
      </c>
      <c r="C48" s="117">
        <v>0</v>
      </c>
      <c r="D48" s="117">
        <v>0</v>
      </c>
      <c r="E48" s="117">
        <v>0</v>
      </c>
      <c r="F48" s="29">
        <v>1</v>
      </c>
      <c r="G48" s="29">
        <v>1</v>
      </c>
      <c r="H48" s="47">
        <v>48876</v>
      </c>
      <c r="I48" s="68">
        <v>1.5216182611770785</v>
      </c>
      <c r="J48" s="68">
        <v>1.5216182611770785</v>
      </c>
      <c r="K48" s="117">
        <v>69999.995196669464</v>
      </c>
      <c r="L48" s="46">
        <v>0</v>
      </c>
      <c r="M48" s="46">
        <v>2133.9865281533489</v>
      </c>
      <c r="N48" s="46">
        <v>27922.06</v>
      </c>
      <c r="O48" s="46">
        <v>0</v>
      </c>
      <c r="P48" s="46">
        <v>5750.5027530566094</v>
      </c>
      <c r="Q48" s="46">
        <v>0</v>
      </c>
      <c r="R48" s="46">
        <v>34193.44591545951</v>
      </c>
      <c r="S48" s="46">
        <v>71132.884271778297</v>
      </c>
      <c r="T48" s="54">
        <v>4.3368086899420177E-19</v>
      </c>
      <c r="U48" s="54">
        <v>0</v>
      </c>
      <c r="V48" s="54">
        <v>1.7500000000000002E-2</v>
      </c>
      <c r="W48" s="54">
        <v>3.2500000000000001E-2</v>
      </c>
      <c r="X48" s="46">
        <v>6500</v>
      </c>
      <c r="Y48" s="46">
        <v>6500</v>
      </c>
      <c r="Z48" s="46">
        <v>0</v>
      </c>
      <c r="AA48" s="46">
        <v>0</v>
      </c>
      <c r="AB48" s="46">
        <v>0</v>
      </c>
      <c r="AC48" s="46">
        <v>1244.8254747561202</v>
      </c>
      <c r="AD48" s="46">
        <v>0</v>
      </c>
      <c r="AE48" s="46">
        <v>1244.8254747561202</v>
      </c>
      <c r="AF48" s="46">
        <v>34193.44591545951</v>
      </c>
      <c r="AG48" s="46">
        <v>86351.385441969804</v>
      </c>
      <c r="AH48" s="46">
        <v>34193.44591545951</v>
      </c>
      <c r="AI48" s="46">
        <v>373253.60972067941</v>
      </c>
      <c r="AJ48" s="300">
        <v>1203</v>
      </c>
      <c r="AK48" s="300">
        <v>1121.8984615384616</v>
      </c>
      <c r="AL48" s="300">
        <v>1203</v>
      </c>
      <c r="AM48" s="300">
        <v>98.2</v>
      </c>
      <c r="AN48" s="300">
        <v>13.932535209981189</v>
      </c>
      <c r="AO48" s="300">
        <v>1315.1325352099811</v>
      </c>
      <c r="AP48" s="300">
        <v>34193.44591545951</v>
      </c>
      <c r="AQ48" s="300">
        <v>1735.0459154595108</v>
      </c>
      <c r="AR48" s="304"/>
      <c r="AS48" s="130">
        <v>2.6243902439024396E-2</v>
      </c>
      <c r="AT48" s="5">
        <v>0</v>
      </c>
      <c r="AU48" s="45"/>
      <c r="AV48" s="304">
        <v>0</v>
      </c>
      <c r="AW48" s="154">
        <v>0</v>
      </c>
      <c r="AX48" s="154">
        <v>2133.9865281533489</v>
      </c>
      <c r="AY48" s="154">
        <v>0</v>
      </c>
      <c r="AZ48" s="154">
        <v>0</v>
      </c>
      <c r="BA48" s="154">
        <v>0</v>
      </c>
      <c r="BB48" s="154">
        <v>2133.9865281533489</v>
      </c>
      <c r="BC48" s="146">
        <v>0</v>
      </c>
      <c r="BD48" s="146">
        <v>0</v>
      </c>
      <c r="BE48" s="146">
        <v>3247.1128703440095</v>
      </c>
      <c r="BF48" s="5">
        <v>0</v>
      </c>
      <c r="BG48" s="250">
        <v>106285.03554321894</v>
      </c>
      <c r="BH48" s="152">
        <v>2.5000000000000001E-2</v>
      </c>
      <c r="BI48" s="152">
        <v>2.5000000000000001E-2</v>
      </c>
      <c r="BJ48" s="5">
        <v>0</v>
      </c>
      <c r="BK48" s="5">
        <v>0</v>
      </c>
      <c r="BL48" s="5">
        <v>0</v>
      </c>
      <c r="BM48" s="5">
        <v>6097.4010972202332</v>
      </c>
      <c r="BN48" s="5">
        <v>42156.901728564197</v>
      </c>
      <c r="BO48" s="5">
        <v>0</v>
      </c>
      <c r="BP48" s="5"/>
      <c r="BQ48" s="5">
        <v>0</v>
      </c>
      <c r="BR48" s="5">
        <v>0</v>
      </c>
      <c r="BS48" s="5">
        <v>0</v>
      </c>
      <c r="BT48" s="5">
        <v>0</v>
      </c>
      <c r="BU48" s="5">
        <v>8808.4128372163887</v>
      </c>
      <c r="BV48" s="5">
        <v>5750.5027530566094</v>
      </c>
      <c r="BW48" s="5">
        <v>0</v>
      </c>
      <c r="BY48" s="5">
        <f t="shared" si="1"/>
        <v>70000</v>
      </c>
      <c r="BZ48" s="5">
        <f t="shared" si="2"/>
        <v>34193.44591545951</v>
      </c>
      <c r="CA48" s="5">
        <f t="shared" si="3"/>
        <v>0</v>
      </c>
      <c r="CB48" s="5">
        <f t="shared" si="0"/>
        <v>2133.9865281533489</v>
      </c>
      <c r="CC48" s="5">
        <f t="shared" si="4"/>
        <v>5750.5027530566094</v>
      </c>
      <c r="CD48" s="5"/>
      <c r="CE48" s="5">
        <f t="shared" si="5"/>
        <v>42156.901728564197</v>
      </c>
      <c r="CF48" s="5"/>
      <c r="CG48" s="135"/>
      <c r="CI48" s="46">
        <v>0</v>
      </c>
      <c r="CJ48" s="46">
        <v>0</v>
      </c>
      <c r="CK48" s="5">
        <v>0</v>
      </c>
      <c r="CL48" s="46">
        <v>0</v>
      </c>
      <c r="CM48" s="63">
        <v>1</v>
      </c>
      <c r="CN48" s="203">
        <v>0.04</v>
      </c>
      <c r="CO48" s="152">
        <v>0.06</v>
      </c>
      <c r="CP48" s="54">
        <v>0.06</v>
      </c>
      <c r="CQ48" s="152">
        <v>0.02</v>
      </c>
      <c r="CR48" s="250"/>
      <c r="CS48" s="250"/>
      <c r="CT48" s="250"/>
      <c r="CU48" s="250"/>
      <c r="CV48" s="46">
        <v>0</v>
      </c>
      <c r="CW48" s="46">
        <v>0</v>
      </c>
      <c r="CX48" s="5">
        <v>5033.3787641236504</v>
      </c>
      <c r="CY48" s="5">
        <v>3569.7721731373404</v>
      </c>
      <c r="CZ48" s="5">
        <v>0</v>
      </c>
      <c r="DA48" s="46">
        <v>3286.0015731752055</v>
      </c>
      <c r="DB48" s="46">
        <v>0</v>
      </c>
      <c r="DC48" s="46">
        <v>14999.320000000029</v>
      </c>
      <c r="DD48" s="46">
        <v>9857.4789634799745</v>
      </c>
      <c r="DE48" s="46">
        <v>0</v>
      </c>
      <c r="DF48" s="54"/>
      <c r="DG48" s="54"/>
      <c r="DH48" s="152"/>
      <c r="DI48" s="250"/>
      <c r="DJ48" s="250"/>
      <c r="DK48" s="250"/>
      <c r="DL48" s="250"/>
      <c r="DO48" s="5"/>
      <c r="DP48" s="5"/>
      <c r="DQ48" s="5"/>
      <c r="DW48" s="54"/>
      <c r="DX48" s="54"/>
      <c r="DY48" s="152"/>
      <c r="DZ48" s="250"/>
      <c r="EA48" s="250"/>
      <c r="EB48" s="250"/>
      <c r="EC48" s="250"/>
      <c r="ED48" s="425"/>
      <c r="EF48" s="5"/>
      <c r="EG48" s="5"/>
      <c r="EH48" s="5"/>
      <c r="EN48" s="63"/>
      <c r="EO48" s="89"/>
      <c r="EP48" s="89"/>
      <c r="ER48" s="220"/>
      <c r="ES48" s="89"/>
      <c r="EU48" s="5"/>
      <c r="EV48" s="46">
        <v>0</v>
      </c>
      <c r="EX48" s="5"/>
      <c r="FE48" s="53"/>
      <c r="FF48" s="54"/>
      <c r="FH48" s="54"/>
      <c r="FI48" s="54"/>
      <c r="FL48" s="46">
        <v>0</v>
      </c>
      <c r="FU48" s="45">
        <v>0</v>
      </c>
      <c r="FV48" s="46">
        <v>0</v>
      </c>
      <c r="FW48" s="5">
        <v>0</v>
      </c>
      <c r="FX48" s="46">
        <v>0</v>
      </c>
      <c r="FY48" s="63">
        <v>1</v>
      </c>
      <c r="FZ48" s="203">
        <v>0.04</v>
      </c>
      <c r="GA48" s="152">
        <v>0.06</v>
      </c>
      <c r="GB48" s="54">
        <v>0.06</v>
      </c>
      <c r="GC48" s="152">
        <v>0.02</v>
      </c>
      <c r="GD48" s="250"/>
      <c r="GE48" s="250"/>
      <c r="GF48" s="250"/>
      <c r="GG48" s="250"/>
      <c r="GH48" s="46">
        <v>0</v>
      </c>
      <c r="GI48" s="46">
        <v>0</v>
      </c>
      <c r="GJ48" s="5">
        <v>3775.0340730927378</v>
      </c>
      <c r="GK48" s="5">
        <v>2677.3291298530053</v>
      </c>
      <c r="GL48" s="5">
        <v>0</v>
      </c>
      <c r="GM48" s="45">
        <v>2464.5011798814044</v>
      </c>
      <c r="GN48" s="46">
        <v>0</v>
      </c>
      <c r="GO48" s="46">
        <v>11249.490000000002</v>
      </c>
      <c r="GP48" s="46">
        <v>7393.1092226099672</v>
      </c>
      <c r="GQ48" s="46">
        <v>0</v>
      </c>
      <c r="GR48" s="54"/>
      <c r="GS48" s="54"/>
      <c r="GT48" s="152"/>
      <c r="GU48" s="250"/>
      <c r="GV48" s="250"/>
      <c r="GW48" s="250"/>
      <c r="GX48" s="250"/>
      <c r="HA48" s="5"/>
      <c r="HC48" s="5"/>
      <c r="HI48" s="54"/>
      <c r="HJ48" s="54"/>
      <c r="HK48" s="152"/>
      <c r="HL48" s="250"/>
      <c r="HM48" s="250"/>
      <c r="HN48" s="250"/>
      <c r="HO48" s="250"/>
      <c r="HR48" s="5"/>
      <c r="HT48" s="5"/>
      <c r="HZ48" s="63"/>
      <c r="IA48" s="89"/>
      <c r="IB48" s="89"/>
      <c r="ID48" s="89"/>
      <c r="IE48" s="89"/>
      <c r="IF48" s="5"/>
      <c r="IG48" s="5"/>
      <c r="IH48" s="46">
        <v>0</v>
      </c>
      <c r="IP48" s="63"/>
      <c r="IQ48" s="89"/>
      <c r="IR48" s="89"/>
      <c r="IT48" s="89"/>
      <c r="IU48" s="89"/>
      <c r="IV48" s="5"/>
      <c r="IW48" s="5"/>
      <c r="IX48" s="46">
        <v>0</v>
      </c>
      <c r="IZ48" s="5"/>
    </row>
    <row r="49" spans="1:260" s="46" customFormat="1">
      <c r="A49" s="86">
        <v>19</v>
      </c>
      <c r="B49" s="117">
        <v>42156.901728564197</v>
      </c>
      <c r="C49" s="117">
        <v>0</v>
      </c>
      <c r="D49" s="117">
        <v>0</v>
      </c>
      <c r="E49" s="117">
        <v>0</v>
      </c>
      <c r="F49" s="29">
        <v>1</v>
      </c>
      <c r="G49" s="29">
        <v>1</v>
      </c>
      <c r="H49" s="47">
        <v>49241</v>
      </c>
      <c r="I49" s="68">
        <v>1.5596587177065055</v>
      </c>
      <c r="J49" s="68">
        <v>1.5596587177065055</v>
      </c>
      <c r="K49" s="117">
        <v>70000.004289433637</v>
      </c>
      <c r="L49" s="46">
        <v>0</v>
      </c>
      <c r="M49" s="46">
        <v>1264.7070518569258</v>
      </c>
      <c r="N49" s="46">
        <v>28940.44</v>
      </c>
      <c r="O49" s="46">
        <v>0</v>
      </c>
      <c r="P49" s="46">
        <v>5610.2465883479126</v>
      </c>
      <c r="Q49" s="46">
        <v>0</v>
      </c>
      <c r="R49" s="46">
        <v>34184.610649228795</v>
      </c>
      <c r="S49" s="46">
        <v>42156.901728564197</v>
      </c>
      <c r="T49" s="54">
        <v>4.3368086899420177E-19</v>
      </c>
      <c r="U49" s="54">
        <v>0</v>
      </c>
      <c r="V49" s="54">
        <v>1.7500000000000002E-2</v>
      </c>
      <c r="W49" s="54">
        <v>3.2500000000000001E-2</v>
      </c>
      <c r="X49" s="46">
        <v>6500</v>
      </c>
      <c r="Y49" s="46">
        <v>6500</v>
      </c>
      <c r="Z49" s="46">
        <v>0</v>
      </c>
      <c r="AA49" s="46">
        <v>0</v>
      </c>
      <c r="AB49" s="46">
        <v>0</v>
      </c>
      <c r="AC49" s="46">
        <v>737.74578024987352</v>
      </c>
      <c r="AD49" s="46">
        <v>0</v>
      </c>
      <c r="AE49" s="46">
        <v>737.74578024987352</v>
      </c>
      <c r="AF49" s="46">
        <v>34184.610649228795</v>
      </c>
      <c r="AG49" s="46">
        <v>50753.143346980571</v>
      </c>
      <c r="AH49" s="46">
        <v>34184.610649228795</v>
      </c>
      <c r="AI49" s="46">
        <v>373253.60972067941</v>
      </c>
      <c r="AJ49" s="300">
        <v>1203</v>
      </c>
      <c r="AK49" s="300">
        <v>1121.8984615384616</v>
      </c>
      <c r="AL49" s="300">
        <v>1203</v>
      </c>
      <c r="AM49" s="300">
        <v>98.2</v>
      </c>
      <c r="AN49" s="300">
        <v>13.592717278030428</v>
      </c>
      <c r="AO49" s="300">
        <v>1314.7927172780305</v>
      </c>
      <c r="AP49" s="300">
        <v>34184.610649228795</v>
      </c>
      <c r="AQ49" s="300">
        <v>1726.210649228791</v>
      </c>
      <c r="AR49" s="304"/>
      <c r="AS49" s="130">
        <v>2.6243902439024396E-2</v>
      </c>
      <c r="AT49" s="5">
        <v>0</v>
      </c>
      <c r="AU49" s="45"/>
      <c r="AV49" s="304">
        <v>0</v>
      </c>
      <c r="AW49" s="154">
        <v>0</v>
      </c>
      <c r="AX49" s="154">
        <v>1264.7070518569258</v>
      </c>
      <c r="AY49" s="154">
        <v>0</v>
      </c>
      <c r="AZ49" s="154">
        <v>0</v>
      </c>
      <c r="BA49" s="154">
        <v>0</v>
      </c>
      <c r="BB49" s="154">
        <v>1264.7070518569258</v>
      </c>
      <c r="BC49" s="146">
        <v>0</v>
      </c>
      <c r="BD49" s="146">
        <v>0</v>
      </c>
      <c r="BE49" s="146">
        <v>1972.5113787735479</v>
      </c>
      <c r="BF49" s="5">
        <v>0</v>
      </c>
      <c r="BG49" s="250">
        <v>108942.16143179941</v>
      </c>
      <c r="BH49" s="152">
        <v>2.5000000000000001E-2</v>
      </c>
      <c r="BI49" s="152">
        <v>2.5000000000000001E-2</v>
      </c>
      <c r="BJ49" s="5">
        <v>0</v>
      </c>
      <c r="BK49" s="5">
        <v>0</v>
      </c>
      <c r="BL49" s="5">
        <v>0</v>
      </c>
      <c r="BM49" s="5">
        <v>5799.966897355831</v>
      </c>
      <c r="BN49" s="5">
        <v>12894.109003477268</v>
      </c>
      <c r="BO49" s="5">
        <v>0</v>
      </c>
      <c r="BP49" s="5"/>
      <c r="BQ49" s="5">
        <v>0</v>
      </c>
      <c r="BR49" s="5">
        <v>0</v>
      </c>
      <c r="BS49" s="5">
        <v>0</v>
      </c>
      <c r="BT49" s="5">
        <v>0</v>
      </c>
      <c r="BU49" s="5">
        <v>2498.840521196139</v>
      </c>
      <c r="BV49" s="5">
        <v>5610.2465883479126</v>
      </c>
      <c r="BW49" s="5">
        <v>0</v>
      </c>
      <c r="BY49" s="5">
        <f t="shared" si="1"/>
        <v>70000</v>
      </c>
      <c r="BZ49" s="5">
        <f t="shared" si="2"/>
        <v>34184.610649228795</v>
      </c>
      <c r="CA49" s="5">
        <f t="shared" si="3"/>
        <v>0</v>
      </c>
      <c r="CB49" s="5">
        <f t="shared" si="0"/>
        <v>1264.7070518569258</v>
      </c>
      <c r="CC49" s="5">
        <f t="shared" si="4"/>
        <v>5610.2465883479126</v>
      </c>
      <c r="CD49" s="5"/>
      <c r="CE49" s="5">
        <f t="shared" si="5"/>
        <v>12894.109003477268</v>
      </c>
      <c r="CF49" s="5"/>
      <c r="CG49" s="5"/>
      <c r="CI49" s="46">
        <v>0</v>
      </c>
      <c r="CJ49" s="46">
        <v>0</v>
      </c>
      <c r="CK49" s="5">
        <v>0</v>
      </c>
      <c r="CL49" s="46">
        <v>0</v>
      </c>
      <c r="CM49" s="63">
        <v>1</v>
      </c>
      <c r="CN49" s="203">
        <v>0.04</v>
      </c>
      <c r="CO49" s="152">
        <v>0.06</v>
      </c>
      <c r="CP49" s="54">
        <v>0.06</v>
      </c>
      <c r="CQ49" s="152">
        <v>0.02</v>
      </c>
      <c r="CR49" s="250"/>
      <c r="CS49" s="250"/>
      <c r="CT49" s="250"/>
      <c r="CU49" s="250"/>
      <c r="CV49" s="46">
        <v>0</v>
      </c>
      <c r="CW49" s="46">
        <v>0</v>
      </c>
      <c r="CX49" s="5">
        <v>1427.9088692549367</v>
      </c>
      <c r="CY49" s="5">
        <v>3482.704559158381</v>
      </c>
      <c r="CZ49" s="5">
        <v>0</v>
      </c>
      <c r="DA49" s="46">
        <v>3205.8551933416638</v>
      </c>
      <c r="DB49" s="46">
        <v>0</v>
      </c>
      <c r="DC49" s="46">
        <v>9999.2800000000279</v>
      </c>
      <c r="DD49" s="46">
        <v>6411.1974539558714</v>
      </c>
      <c r="DE49" s="46">
        <v>0</v>
      </c>
      <c r="DF49" s="54"/>
      <c r="DG49" s="54"/>
      <c r="DH49" s="152"/>
      <c r="DI49" s="250"/>
      <c r="DJ49" s="250"/>
      <c r="DK49" s="250"/>
      <c r="DL49" s="250"/>
      <c r="DO49" s="5"/>
      <c r="DP49" s="5"/>
      <c r="DQ49" s="5"/>
      <c r="DW49" s="54"/>
      <c r="DX49" s="54"/>
      <c r="DY49" s="152"/>
      <c r="DZ49" s="250"/>
      <c r="EA49" s="250"/>
      <c r="EB49" s="250"/>
      <c r="EC49" s="250"/>
      <c r="ED49" s="425"/>
      <c r="EF49" s="5"/>
      <c r="EG49" s="5"/>
      <c r="EH49" s="5"/>
      <c r="EN49" s="63"/>
      <c r="EO49" s="89"/>
      <c r="EP49" s="89"/>
      <c r="ER49" s="220"/>
      <c r="ES49" s="89"/>
      <c r="EU49" s="5"/>
      <c r="EV49" s="46">
        <v>0</v>
      </c>
      <c r="EX49" s="5"/>
      <c r="FE49" s="53"/>
      <c r="FF49" s="54"/>
      <c r="FH49" s="54"/>
      <c r="FI49" s="54"/>
      <c r="FL49" s="46">
        <v>0</v>
      </c>
      <c r="FU49" s="45">
        <v>0</v>
      </c>
      <c r="FV49" s="46">
        <v>0</v>
      </c>
      <c r="FW49" s="5">
        <v>0</v>
      </c>
      <c r="FX49" s="46">
        <v>0</v>
      </c>
      <c r="FY49" s="63">
        <v>1</v>
      </c>
      <c r="FZ49" s="203">
        <v>0.04</v>
      </c>
      <c r="GA49" s="152">
        <v>0.06</v>
      </c>
      <c r="GB49" s="54">
        <v>0.06</v>
      </c>
      <c r="GC49" s="152">
        <v>0.02</v>
      </c>
      <c r="GD49" s="250"/>
      <c r="GE49" s="250"/>
      <c r="GF49" s="250"/>
      <c r="GG49" s="250"/>
      <c r="GH49" s="46">
        <v>0</v>
      </c>
      <c r="GI49" s="46">
        <v>0</v>
      </c>
      <c r="GJ49" s="5">
        <v>1070.9316519412025</v>
      </c>
      <c r="GK49" s="5">
        <v>2612.0284193687858</v>
      </c>
      <c r="GL49" s="5">
        <v>0</v>
      </c>
      <c r="GM49" s="45">
        <v>2404.3913950062483</v>
      </c>
      <c r="GN49" s="46">
        <v>0</v>
      </c>
      <c r="GO49" s="46">
        <v>7499.46</v>
      </c>
      <c r="GP49" s="46">
        <v>4808.3980904668906</v>
      </c>
      <c r="GQ49" s="46">
        <v>0</v>
      </c>
      <c r="GR49" s="54"/>
      <c r="GS49" s="54"/>
      <c r="GT49" s="152"/>
      <c r="GU49" s="250"/>
      <c r="GV49" s="250"/>
      <c r="GW49" s="250"/>
      <c r="GX49" s="250"/>
      <c r="HA49" s="5"/>
      <c r="HC49" s="5"/>
      <c r="HI49" s="54"/>
      <c r="HJ49" s="54"/>
      <c r="HK49" s="152"/>
      <c r="HL49" s="250"/>
      <c r="HM49" s="250"/>
      <c r="HN49" s="250"/>
      <c r="HO49" s="250"/>
      <c r="HR49" s="5"/>
      <c r="HT49" s="5"/>
      <c r="HZ49" s="63"/>
      <c r="IA49" s="89"/>
      <c r="IB49" s="54"/>
      <c r="ID49" s="89"/>
      <c r="IE49" s="89"/>
      <c r="IF49" s="5"/>
      <c r="IG49" s="5"/>
      <c r="IH49" s="46">
        <v>0</v>
      </c>
      <c r="IP49" s="63"/>
      <c r="IQ49" s="89"/>
      <c r="IR49" s="89"/>
      <c r="IT49" s="89"/>
      <c r="IU49" s="89"/>
      <c r="IV49" s="5"/>
      <c r="IW49" s="5"/>
      <c r="IX49" s="46">
        <v>0</v>
      </c>
      <c r="IZ49" s="5"/>
    </row>
    <row r="50" spans="1:260" s="46" customFormat="1">
      <c r="A50" s="86">
        <v>20</v>
      </c>
      <c r="B50" s="117">
        <v>12894.109003477268</v>
      </c>
      <c r="C50" s="117">
        <v>0</v>
      </c>
      <c r="D50" s="117">
        <v>0</v>
      </c>
      <c r="E50" s="117">
        <v>0</v>
      </c>
      <c r="F50" s="29">
        <v>1</v>
      </c>
      <c r="G50" s="29">
        <v>1</v>
      </c>
      <c r="H50" s="47">
        <v>49606</v>
      </c>
      <c r="I50" s="68">
        <v>1.5986501856491682</v>
      </c>
      <c r="J50" s="68">
        <v>1.5986501856491682</v>
      </c>
      <c r="K50" s="117">
        <v>52930.334456583252</v>
      </c>
      <c r="L50" s="46">
        <v>0</v>
      </c>
      <c r="M50" s="46">
        <v>386.823270104318</v>
      </c>
      <c r="N50" s="46">
        <v>12894.109003477268</v>
      </c>
      <c r="O50" s="46">
        <v>0</v>
      </c>
      <c r="P50" s="46">
        <v>5473.41130570528</v>
      </c>
      <c r="Q50" s="46">
        <v>0</v>
      </c>
      <c r="R50" s="46">
        <v>34175.990877296383</v>
      </c>
      <c r="S50" s="46">
        <v>12894.109003477268</v>
      </c>
      <c r="T50" s="54">
        <v>4.3368086899420177E-19</v>
      </c>
      <c r="U50" s="54">
        <v>0</v>
      </c>
      <c r="V50" s="54">
        <v>1.7500000000000002E-2</v>
      </c>
      <c r="W50" s="54">
        <v>3.2500000000000001E-2</v>
      </c>
      <c r="X50" s="46">
        <v>6500</v>
      </c>
      <c r="Y50" s="46">
        <v>6500</v>
      </c>
      <c r="Z50" s="46">
        <v>0</v>
      </c>
      <c r="AA50" s="46">
        <v>0</v>
      </c>
      <c r="AB50" s="46">
        <v>0</v>
      </c>
      <c r="AC50" s="46">
        <v>225.64690756085221</v>
      </c>
      <c r="AD50" s="46">
        <v>0</v>
      </c>
      <c r="AE50" s="46">
        <v>225.64690756085221</v>
      </c>
      <c r="AF50" s="46">
        <v>34175.990877296383</v>
      </c>
      <c r="AG50" s="46">
        <v>18694.075900833101</v>
      </c>
      <c r="AH50" s="46">
        <v>34175.990877296383</v>
      </c>
      <c r="AI50" s="46">
        <v>373253.60972067941</v>
      </c>
      <c r="AJ50" s="300">
        <v>1203</v>
      </c>
      <c r="AK50" s="300">
        <v>1121.8984615384616</v>
      </c>
      <c r="AL50" s="300">
        <v>1203</v>
      </c>
      <c r="AM50" s="300">
        <v>98.2</v>
      </c>
      <c r="AN50" s="300">
        <v>13.261187588322368</v>
      </c>
      <c r="AO50" s="300">
        <v>1314.4611875883224</v>
      </c>
      <c r="AP50" s="300">
        <v>34175.990877296383</v>
      </c>
      <c r="AQ50" s="300">
        <v>1717.5908772963814</v>
      </c>
      <c r="AR50" s="304"/>
      <c r="AS50" s="130">
        <v>2.6243902439024396E-2</v>
      </c>
      <c r="AT50" s="5">
        <v>0</v>
      </c>
      <c r="AU50" s="45"/>
      <c r="AV50" s="304">
        <v>0</v>
      </c>
      <c r="AW50" s="154">
        <v>0</v>
      </c>
      <c r="AX50" s="154">
        <v>386.823270104318</v>
      </c>
      <c r="AY50" s="154">
        <v>0</v>
      </c>
      <c r="AZ50" s="154">
        <v>0</v>
      </c>
      <c r="BA50" s="154">
        <v>0</v>
      </c>
      <c r="BB50" s="162">
        <v>386.823270104318</v>
      </c>
      <c r="BC50" s="146">
        <v>0</v>
      </c>
      <c r="BD50" s="146">
        <v>0</v>
      </c>
      <c r="BE50" s="146">
        <v>618.39509256568624</v>
      </c>
      <c r="BF50" s="5">
        <v>0</v>
      </c>
      <c r="BG50" s="250">
        <v>111665.71546759439</v>
      </c>
      <c r="BH50" s="152">
        <v>2.5000000000000001E-2</v>
      </c>
      <c r="BI50" s="152">
        <v>2.5000000000000001E-2</v>
      </c>
      <c r="BJ50" s="5">
        <v>0</v>
      </c>
      <c r="BK50" s="5">
        <v>0</v>
      </c>
      <c r="BL50" s="5">
        <v>0</v>
      </c>
      <c r="BM50" s="5">
        <v>5517.0416828506686</v>
      </c>
      <c r="BN50" s="5">
        <v>0</v>
      </c>
      <c r="BO50" s="5">
        <v>0</v>
      </c>
      <c r="BP50" s="5"/>
      <c r="BQ50" s="5">
        <v>0</v>
      </c>
      <c r="BR50" s="5">
        <v>0</v>
      </c>
      <c r="BS50" s="5">
        <v>0</v>
      </c>
      <c r="BT50" s="5">
        <v>0</v>
      </c>
      <c r="BU50" s="5">
        <v>0</v>
      </c>
      <c r="BV50" s="5">
        <v>5473.41130570528</v>
      </c>
      <c r="BW50" s="5">
        <v>0</v>
      </c>
      <c r="BY50" s="5">
        <f t="shared" si="1"/>
        <v>70000</v>
      </c>
      <c r="BZ50" s="5">
        <f t="shared" ref="BZ50:BZ53" si="6">R50</f>
        <v>34175.990877296383</v>
      </c>
      <c r="CA50" s="5">
        <f t="shared" si="3"/>
        <v>0</v>
      </c>
      <c r="CB50" s="5">
        <f t="shared" si="0"/>
        <v>386.823270104318</v>
      </c>
      <c r="CC50" s="5">
        <f t="shared" si="4"/>
        <v>5473.41130570528</v>
      </c>
      <c r="CD50" s="5"/>
      <c r="CE50" s="5">
        <f t="shared" si="5"/>
        <v>0</v>
      </c>
      <c r="CF50" s="5"/>
      <c r="CG50" s="5"/>
      <c r="CI50" s="46">
        <v>0</v>
      </c>
      <c r="CJ50" s="46">
        <v>0</v>
      </c>
      <c r="CK50" s="5">
        <v>0</v>
      </c>
      <c r="CL50" s="46">
        <v>0</v>
      </c>
      <c r="CM50" s="63">
        <v>1</v>
      </c>
      <c r="CN50" s="203">
        <v>0.04</v>
      </c>
      <c r="CO50" s="152">
        <v>0.06</v>
      </c>
      <c r="CP50" s="54">
        <v>0.06</v>
      </c>
      <c r="CQ50" s="152">
        <v>0.02</v>
      </c>
      <c r="CR50" s="250"/>
      <c r="CS50" s="250"/>
      <c r="CT50" s="250"/>
      <c r="CU50" s="250"/>
      <c r="CV50" s="46">
        <v>0</v>
      </c>
      <c r="CW50" s="46">
        <v>0</v>
      </c>
      <c r="CX50" s="5">
        <v>0</v>
      </c>
      <c r="CY50" s="5">
        <v>3397.7605455203716</v>
      </c>
      <c r="CZ50" s="5">
        <v>0</v>
      </c>
      <c r="DA50" s="46">
        <v>3127.66360326016</v>
      </c>
      <c r="DB50" s="46">
        <v>0</v>
      </c>
      <c r="DC50" s="46">
        <v>4999.2400000000271</v>
      </c>
      <c r="DD50" s="46">
        <v>3127.1631810870322</v>
      </c>
      <c r="DE50" s="46">
        <v>0</v>
      </c>
      <c r="DF50" s="54"/>
      <c r="DG50" s="54"/>
      <c r="DH50" s="152"/>
      <c r="DI50" s="250"/>
      <c r="DJ50" s="250"/>
      <c r="DK50" s="250"/>
      <c r="DL50" s="250"/>
      <c r="DO50" s="5"/>
      <c r="DP50" s="5"/>
      <c r="DQ50" s="5"/>
      <c r="DW50" s="54"/>
      <c r="DX50" s="54"/>
      <c r="DY50" s="152"/>
      <c r="DZ50" s="250"/>
      <c r="EA50" s="250"/>
      <c r="EB50" s="250"/>
      <c r="EC50" s="250"/>
      <c r="ED50" s="425"/>
      <c r="EF50" s="5"/>
      <c r="EG50" s="5"/>
      <c r="EH50" s="5"/>
      <c r="EN50" s="63"/>
      <c r="EO50" s="89"/>
      <c r="EP50" s="89"/>
      <c r="ER50" s="220"/>
      <c r="ES50" s="89"/>
      <c r="EU50" s="5"/>
      <c r="EV50" s="46">
        <v>0</v>
      </c>
      <c r="EX50" s="5"/>
      <c r="FE50" s="53"/>
      <c r="FF50" s="54"/>
      <c r="FH50" s="54"/>
      <c r="FI50" s="54"/>
      <c r="FL50" s="46">
        <v>0</v>
      </c>
      <c r="FU50" s="45">
        <v>0</v>
      </c>
      <c r="FV50" s="46">
        <v>0</v>
      </c>
      <c r="FW50" s="5">
        <v>0</v>
      </c>
      <c r="FX50" s="46">
        <v>0</v>
      </c>
      <c r="FY50" s="63">
        <v>1</v>
      </c>
      <c r="FZ50" s="203">
        <v>0.04</v>
      </c>
      <c r="GA50" s="152">
        <v>0.06</v>
      </c>
      <c r="GB50" s="54">
        <v>0.06</v>
      </c>
      <c r="GC50" s="152">
        <v>0.02</v>
      </c>
      <c r="GD50" s="250"/>
      <c r="GE50" s="250"/>
      <c r="GF50" s="250"/>
      <c r="GG50" s="250"/>
      <c r="GH50" s="46">
        <v>0</v>
      </c>
      <c r="GI50" s="46">
        <v>0</v>
      </c>
      <c r="GJ50" s="5">
        <v>0</v>
      </c>
      <c r="GK50" s="5">
        <v>2548.3204091402786</v>
      </c>
      <c r="GL50" s="5">
        <v>0</v>
      </c>
      <c r="GM50" s="45">
        <v>2345.7477024451205</v>
      </c>
      <c r="GN50" s="46">
        <v>0</v>
      </c>
      <c r="GO50" s="46">
        <v>3749.4299999999985</v>
      </c>
      <c r="GP50" s="46">
        <v>2345.3723858152603</v>
      </c>
      <c r="GQ50" s="46">
        <v>0</v>
      </c>
      <c r="GR50" s="54"/>
      <c r="GS50" s="54"/>
      <c r="GT50" s="152"/>
      <c r="GU50" s="250"/>
      <c r="GV50" s="250"/>
      <c r="GW50" s="250"/>
      <c r="GX50" s="250"/>
      <c r="HA50" s="5"/>
      <c r="HC50" s="5"/>
      <c r="HI50" s="54"/>
      <c r="HJ50" s="54"/>
      <c r="HK50" s="152"/>
      <c r="HL50" s="250"/>
      <c r="HM50" s="250"/>
      <c r="HN50" s="250"/>
      <c r="HO50" s="250"/>
      <c r="HR50" s="5"/>
      <c r="HT50" s="5"/>
      <c r="HZ50" s="63"/>
      <c r="IA50" s="89"/>
      <c r="IB50" s="54"/>
      <c r="ID50" s="89"/>
      <c r="IE50" s="89"/>
      <c r="IH50" s="46">
        <v>0</v>
      </c>
      <c r="IP50" s="63"/>
      <c r="IQ50" s="89"/>
      <c r="IR50" s="89"/>
      <c r="IT50" s="89"/>
      <c r="IU50" s="89"/>
      <c r="IV50" s="5"/>
      <c r="IW50" s="5"/>
      <c r="IX50" s="46">
        <v>0</v>
      </c>
      <c r="IZ50" s="5"/>
    </row>
    <row r="51" spans="1:260" s="46" customFormat="1">
      <c r="A51" s="86">
        <v>21</v>
      </c>
      <c r="B51" s="117">
        <v>0</v>
      </c>
      <c r="C51" s="117">
        <v>0</v>
      </c>
      <c r="D51" s="117">
        <v>0</v>
      </c>
      <c r="E51" s="117">
        <v>0</v>
      </c>
      <c r="F51" s="29">
        <v>1</v>
      </c>
      <c r="G51" s="29">
        <v>1</v>
      </c>
      <c r="H51" s="47">
        <v>49972</v>
      </c>
      <c r="I51" s="68">
        <v>1.6386164402903973</v>
      </c>
      <c r="J51" s="68">
        <v>1.6386164402903973</v>
      </c>
      <c r="K51" s="117">
        <v>39507.494812684548</v>
      </c>
      <c r="L51" s="46">
        <v>0</v>
      </c>
      <c r="M51" s="46">
        <v>0</v>
      </c>
      <c r="N51" s="46">
        <v>0</v>
      </c>
      <c r="O51" s="46">
        <v>0</v>
      </c>
      <c r="P51" s="46">
        <v>5339.9134689807615</v>
      </c>
      <c r="Q51" s="46">
        <v>0</v>
      </c>
      <c r="R51" s="46">
        <v>34167.581343703787</v>
      </c>
      <c r="S51" s="46">
        <v>0</v>
      </c>
      <c r="T51" s="54">
        <v>4.3368086899420177E-19</v>
      </c>
      <c r="U51" s="54">
        <v>0</v>
      </c>
      <c r="V51" s="54">
        <v>1.7500000000000002E-2</v>
      </c>
      <c r="W51" s="54">
        <v>3.2500000000000001E-2</v>
      </c>
      <c r="X51" s="46">
        <v>6500</v>
      </c>
      <c r="Y51" s="46">
        <v>6500</v>
      </c>
      <c r="Z51" s="46">
        <v>0</v>
      </c>
      <c r="AA51" s="46">
        <v>0</v>
      </c>
      <c r="AB51" s="46">
        <v>0</v>
      </c>
      <c r="AC51" s="46">
        <v>0</v>
      </c>
      <c r="AD51" s="46">
        <v>0</v>
      </c>
      <c r="AE51" s="46">
        <v>0</v>
      </c>
      <c r="AF51" s="46">
        <v>34167.581343703787</v>
      </c>
      <c r="AG51" s="46">
        <v>5517.0416828506686</v>
      </c>
      <c r="AH51" s="46">
        <v>34167.581343703787</v>
      </c>
      <c r="AI51" s="46">
        <v>373253.60972067941</v>
      </c>
      <c r="AJ51" s="300">
        <v>1203</v>
      </c>
      <c r="AK51" s="300">
        <v>1121.8984615384616</v>
      </c>
      <c r="AL51" s="300">
        <v>1203</v>
      </c>
      <c r="AM51" s="300">
        <v>98.2</v>
      </c>
      <c r="AN51" s="300">
        <v>12.93774398860719</v>
      </c>
      <c r="AO51" s="300">
        <v>1314.1377439886071</v>
      </c>
      <c r="AP51" s="300">
        <v>34167.581343703787</v>
      </c>
      <c r="AQ51" s="300">
        <v>1709.1813437037868</v>
      </c>
      <c r="AR51" s="304"/>
      <c r="AS51" s="130">
        <v>2.6243902439024396E-2</v>
      </c>
      <c r="AT51" s="46">
        <v>0</v>
      </c>
      <c r="AU51" s="45"/>
      <c r="AV51" s="304">
        <v>0</v>
      </c>
      <c r="AW51" s="154">
        <v>0</v>
      </c>
      <c r="AX51" s="154">
        <v>0</v>
      </c>
      <c r="AY51" s="154">
        <v>0</v>
      </c>
      <c r="AZ51" s="154">
        <v>0</v>
      </c>
      <c r="BA51" s="154">
        <v>0</v>
      </c>
      <c r="BB51" s="162">
        <v>0</v>
      </c>
      <c r="BC51" s="146">
        <v>0</v>
      </c>
      <c r="BD51" s="146">
        <v>0</v>
      </c>
      <c r="BE51" s="146">
        <v>0</v>
      </c>
      <c r="BF51" s="5">
        <v>0</v>
      </c>
      <c r="BG51" s="250">
        <v>114457.35835428425</v>
      </c>
      <c r="BH51" s="152">
        <v>2.5000000000000001E-2</v>
      </c>
      <c r="BI51" s="152">
        <v>2.5000000000000001E-2</v>
      </c>
      <c r="BJ51" s="46">
        <v>0</v>
      </c>
      <c r="BK51" s="46">
        <v>0</v>
      </c>
      <c r="BL51" s="46">
        <v>0</v>
      </c>
      <c r="BM51" s="46">
        <v>5247.9176983213683</v>
      </c>
      <c r="BN51" s="46">
        <v>0</v>
      </c>
      <c r="BO51" s="46">
        <v>0</v>
      </c>
      <c r="BQ51" s="46">
        <v>0</v>
      </c>
      <c r="BR51" s="46">
        <v>0</v>
      </c>
      <c r="BS51" s="46">
        <v>0</v>
      </c>
      <c r="BT51" s="46">
        <v>0</v>
      </c>
      <c r="BU51" s="46">
        <v>0</v>
      </c>
      <c r="BV51" s="46">
        <v>5339.9134689807615</v>
      </c>
      <c r="BW51" s="46">
        <v>0</v>
      </c>
      <c r="BY51" s="5">
        <f t="shared" si="1"/>
        <v>70000</v>
      </c>
      <c r="BZ51" s="5">
        <f t="shared" si="6"/>
        <v>34167.581343703787</v>
      </c>
      <c r="CA51" s="5">
        <f t="shared" si="3"/>
        <v>0</v>
      </c>
      <c r="CB51" s="5">
        <f t="shared" si="0"/>
        <v>0</v>
      </c>
      <c r="CC51" s="5">
        <f t="shared" si="4"/>
        <v>5339.9134689807615</v>
      </c>
      <c r="CD51" s="5"/>
      <c r="CE51" s="5">
        <f t="shared" si="5"/>
        <v>0</v>
      </c>
      <c r="CF51" s="5"/>
      <c r="CG51" s="5"/>
      <c r="CI51" s="46">
        <v>0</v>
      </c>
      <c r="CJ51" s="46">
        <v>0</v>
      </c>
      <c r="CK51" s="5">
        <v>0</v>
      </c>
      <c r="CL51" s="46">
        <v>0</v>
      </c>
      <c r="CM51" s="63">
        <v>1</v>
      </c>
      <c r="CN51" s="203">
        <v>0.04</v>
      </c>
      <c r="CO51" s="152">
        <v>0.06</v>
      </c>
      <c r="CP51" s="54">
        <v>0.06</v>
      </c>
      <c r="CQ51" s="152">
        <v>0.02</v>
      </c>
      <c r="CR51" s="250"/>
      <c r="CS51" s="250"/>
      <c r="CT51" s="250"/>
      <c r="CU51" s="250"/>
      <c r="CV51" s="46">
        <v>0</v>
      </c>
      <c r="CW51" s="46">
        <v>0</v>
      </c>
      <c r="CX51" s="5">
        <v>0</v>
      </c>
      <c r="CY51" s="5">
        <v>3314.8883370930457</v>
      </c>
      <c r="CZ51" s="5">
        <v>0</v>
      </c>
      <c r="DA51" s="46">
        <v>3051.3791251318635</v>
      </c>
      <c r="DB51" s="46">
        <v>0</v>
      </c>
      <c r="DC51" s="46">
        <v>0</v>
      </c>
      <c r="DD51" s="46">
        <v>0</v>
      </c>
      <c r="DE51" s="46">
        <v>0</v>
      </c>
      <c r="DF51" s="54"/>
      <c r="DG51" s="54"/>
      <c r="DH51" s="152"/>
      <c r="DI51" s="250"/>
      <c r="DJ51" s="250"/>
      <c r="DK51" s="250"/>
      <c r="DL51" s="250"/>
      <c r="DO51" s="5"/>
      <c r="DP51" s="5"/>
      <c r="DQ51" s="5"/>
      <c r="DW51" s="54"/>
      <c r="DX51" s="54"/>
      <c r="DY51" s="152"/>
      <c r="DZ51" s="250"/>
      <c r="EA51" s="250"/>
      <c r="EB51" s="250"/>
      <c r="EC51" s="250"/>
      <c r="ED51" s="425"/>
      <c r="EF51" s="5"/>
      <c r="EG51" s="5"/>
      <c r="EH51" s="5"/>
      <c r="EN51" s="63"/>
      <c r="EO51" s="89"/>
      <c r="EP51" s="89"/>
      <c r="ER51" s="220"/>
      <c r="ES51" s="89"/>
      <c r="EU51" s="5"/>
      <c r="EV51" s="46">
        <v>0</v>
      </c>
      <c r="FE51" s="53"/>
      <c r="FF51" s="89"/>
      <c r="FH51" s="54"/>
      <c r="FI51" s="54"/>
      <c r="FL51" s="46">
        <v>0</v>
      </c>
      <c r="FU51" s="45">
        <v>0</v>
      </c>
      <c r="FV51" s="46">
        <v>0</v>
      </c>
      <c r="FW51" s="5">
        <v>0</v>
      </c>
      <c r="FX51" s="46">
        <v>0</v>
      </c>
      <c r="FY51" s="63">
        <v>1</v>
      </c>
      <c r="FZ51" s="203">
        <v>0.04</v>
      </c>
      <c r="GA51" s="152">
        <v>0.06</v>
      </c>
      <c r="GB51" s="54">
        <v>0.06</v>
      </c>
      <c r="GC51" s="152">
        <v>0.02</v>
      </c>
      <c r="GD51" s="250"/>
      <c r="GE51" s="250"/>
      <c r="GF51" s="250"/>
      <c r="GG51" s="250"/>
      <c r="GH51" s="46">
        <v>0</v>
      </c>
      <c r="GI51" s="46">
        <v>0</v>
      </c>
      <c r="GJ51" s="5">
        <v>0</v>
      </c>
      <c r="GK51" s="5">
        <v>2486.1662528197844</v>
      </c>
      <c r="GL51" s="5">
        <v>0</v>
      </c>
      <c r="GM51" s="45">
        <v>2288.5343438488981</v>
      </c>
      <c r="GN51" s="46">
        <v>0</v>
      </c>
      <c r="GO51" s="46">
        <v>0</v>
      </c>
      <c r="GP51" s="46">
        <v>0</v>
      </c>
      <c r="GQ51" s="46">
        <v>0</v>
      </c>
      <c r="GR51" s="54"/>
      <c r="GS51" s="54"/>
      <c r="GT51" s="152"/>
      <c r="GU51" s="250"/>
      <c r="GV51" s="250"/>
      <c r="GW51" s="250"/>
      <c r="GX51" s="250"/>
      <c r="HI51" s="54"/>
      <c r="HJ51" s="54"/>
      <c r="HK51" s="152"/>
      <c r="HL51" s="250"/>
      <c r="HM51" s="250"/>
      <c r="HN51" s="250"/>
      <c r="HO51" s="250"/>
      <c r="HZ51" s="63"/>
      <c r="IA51" s="89"/>
      <c r="IB51" s="54"/>
      <c r="ID51" s="89"/>
      <c r="IE51" s="89"/>
      <c r="IH51" s="46">
        <v>0</v>
      </c>
      <c r="IP51" s="63"/>
      <c r="IQ51" s="89"/>
      <c r="IR51" s="89"/>
      <c r="IT51" s="89"/>
      <c r="IU51" s="89"/>
      <c r="IV51" s="5"/>
      <c r="IW51" s="5"/>
      <c r="IX51" s="46">
        <v>0</v>
      </c>
      <c r="IZ51" s="5"/>
    </row>
    <row r="52" spans="1:260" s="46" customFormat="1">
      <c r="A52" s="86">
        <v>22</v>
      </c>
      <c r="B52" s="117">
        <v>0</v>
      </c>
      <c r="C52" s="117">
        <v>0</v>
      </c>
      <c r="D52" s="117">
        <v>0</v>
      </c>
      <c r="E52" s="117">
        <v>0</v>
      </c>
      <c r="F52" s="29">
        <v>1</v>
      </c>
      <c r="G52" s="29">
        <v>1</v>
      </c>
      <c r="H52" s="47">
        <v>50337</v>
      </c>
      <c r="I52" s="68">
        <v>1.6795818512976572</v>
      </c>
      <c r="J52" s="68">
        <v>1.6795818512976572</v>
      </c>
      <c r="K52" s="117">
        <v>39369.048597741021</v>
      </c>
      <c r="L52" s="46">
        <v>0</v>
      </c>
      <c r="M52" s="46">
        <v>0</v>
      </c>
      <c r="N52" s="46">
        <v>0</v>
      </c>
      <c r="O52" s="46">
        <v>0</v>
      </c>
      <c r="P52" s="46">
        <v>5209.6716770544017</v>
      </c>
      <c r="Q52" s="46">
        <v>0</v>
      </c>
      <c r="R52" s="46">
        <v>34159.37692068662</v>
      </c>
      <c r="S52" s="46">
        <v>0</v>
      </c>
      <c r="T52" s="54">
        <v>4.3368086899420177E-19</v>
      </c>
      <c r="U52" s="54">
        <v>0</v>
      </c>
      <c r="V52" s="54">
        <v>1.7500000000000002E-2</v>
      </c>
      <c r="W52" s="54">
        <v>3.2500000000000001E-2</v>
      </c>
      <c r="X52" s="46">
        <v>6500</v>
      </c>
      <c r="Y52" s="46">
        <v>6500</v>
      </c>
      <c r="Z52" s="46">
        <v>0</v>
      </c>
      <c r="AA52" s="46">
        <v>0</v>
      </c>
      <c r="AB52" s="46">
        <v>0</v>
      </c>
      <c r="AC52" s="46">
        <v>0</v>
      </c>
      <c r="AD52" s="46">
        <v>0</v>
      </c>
      <c r="AE52" s="46">
        <v>0</v>
      </c>
      <c r="AF52" s="46">
        <v>34159.37692068662</v>
      </c>
      <c r="AG52" s="46">
        <v>5247.9176983213683</v>
      </c>
      <c r="AH52" s="46">
        <v>34159.37692068662</v>
      </c>
      <c r="AI52" s="46">
        <v>373253.60972067941</v>
      </c>
      <c r="AJ52" s="300">
        <v>1203</v>
      </c>
      <c r="AK52" s="300">
        <v>1121.8984615384616</v>
      </c>
      <c r="AL52" s="300">
        <v>1203</v>
      </c>
      <c r="AM52" s="300">
        <v>98.2</v>
      </c>
      <c r="AN52" s="300">
        <v>12.622189257177746</v>
      </c>
      <c r="AO52" s="300">
        <v>1313.8221892571778</v>
      </c>
      <c r="AP52" s="300">
        <v>34159.37692068662</v>
      </c>
      <c r="AQ52" s="300">
        <v>1700.9769206866213</v>
      </c>
      <c r="AR52" s="304"/>
      <c r="AS52" s="130">
        <v>2.6243902439024396E-2</v>
      </c>
      <c r="AT52" s="46">
        <v>0</v>
      </c>
      <c r="AU52" s="45"/>
      <c r="AV52" s="304">
        <v>0</v>
      </c>
      <c r="AW52" s="154">
        <v>0</v>
      </c>
      <c r="AX52" s="154">
        <v>0</v>
      </c>
      <c r="AY52" s="154">
        <v>0</v>
      </c>
      <c r="AZ52" s="154">
        <v>0</v>
      </c>
      <c r="BA52" s="154">
        <v>0</v>
      </c>
      <c r="BB52" s="162">
        <v>0</v>
      </c>
      <c r="BC52" s="45">
        <v>0</v>
      </c>
      <c r="BD52" s="45">
        <v>0</v>
      </c>
      <c r="BE52" s="45">
        <v>0</v>
      </c>
      <c r="BF52" s="46">
        <v>0</v>
      </c>
      <c r="BG52" s="250">
        <v>117318.79231314136</v>
      </c>
      <c r="BH52" s="152">
        <v>2.5000000000000001E-2</v>
      </c>
      <c r="BI52" s="152">
        <v>2.5000000000000001E-2</v>
      </c>
      <c r="BJ52" s="46">
        <v>0</v>
      </c>
      <c r="BK52" s="46">
        <v>0</v>
      </c>
      <c r="BL52" s="46">
        <v>0</v>
      </c>
      <c r="BM52" s="46">
        <v>4991.9217130373991</v>
      </c>
      <c r="BN52" s="46">
        <v>0</v>
      </c>
      <c r="BO52" s="46">
        <v>0</v>
      </c>
      <c r="BQ52" s="46">
        <v>0</v>
      </c>
      <c r="BR52" s="46">
        <v>0</v>
      </c>
      <c r="BS52" s="46">
        <v>0</v>
      </c>
      <c r="BT52" s="46">
        <v>0</v>
      </c>
      <c r="BU52" s="46">
        <v>0</v>
      </c>
      <c r="BV52" s="46">
        <v>5209.6716770544017</v>
      </c>
      <c r="BW52" s="46">
        <v>0</v>
      </c>
      <c r="BY52" s="5">
        <f t="shared" si="1"/>
        <v>70000</v>
      </c>
      <c r="BZ52" s="5">
        <f t="shared" si="6"/>
        <v>34159.37692068662</v>
      </c>
      <c r="CA52" s="5">
        <f t="shared" si="3"/>
        <v>0</v>
      </c>
      <c r="CB52" s="5">
        <f t="shared" si="0"/>
        <v>0</v>
      </c>
      <c r="CC52" s="5">
        <f t="shared" si="4"/>
        <v>5209.6716770544017</v>
      </c>
      <c r="CD52" s="5"/>
      <c r="CE52" s="5">
        <f t="shared" si="5"/>
        <v>0</v>
      </c>
      <c r="CF52" s="5"/>
      <c r="CG52" s="5"/>
      <c r="CI52" s="46">
        <v>0</v>
      </c>
      <c r="CJ52" s="46">
        <v>0</v>
      </c>
      <c r="CK52" s="5">
        <v>0</v>
      </c>
      <c r="CL52" s="46">
        <v>0</v>
      </c>
      <c r="CM52" s="63">
        <v>1</v>
      </c>
      <c r="CN52" s="203">
        <v>0.04</v>
      </c>
      <c r="CO52" s="152">
        <v>0.06</v>
      </c>
      <c r="CP52" s="54">
        <v>0.06</v>
      </c>
      <c r="CQ52" s="54">
        <v>0.02</v>
      </c>
      <c r="CR52" s="250"/>
      <c r="CS52" s="250"/>
      <c r="CT52" s="250"/>
      <c r="CU52" s="250"/>
      <c r="CV52" s="46">
        <v>0</v>
      </c>
      <c r="CW52" s="46">
        <v>0</v>
      </c>
      <c r="CX52" s="146">
        <v>0</v>
      </c>
      <c r="CY52" s="5">
        <v>3234.0374020419958</v>
      </c>
      <c r="CZ52" s="5">
        <v>0</v>
      </c>
      <c r="DA52" s="46">
        <v>2976.9552440310863</v>
      </c>
      <c r="DB52" s="46">
        <v>0</v>
      </c>
      <c r="DC52" s="46">
        <v>0</v>
      </c>
      <c r="DD52" s="46">
        <v>0</v>
      </c>
      <c r="DE52" s="46">
        <v>0</v>
      </c>
      <c r="DF52" s="54"/>
      <c r="DG52" s="54"/>
      <c r="DH52" s="152"/>
      <c r="DI52" s="250"/>
      <c r="DJ52" s="250"/>
      <c r="DK52" s="250"/>
      <c r="DL52" s="250"/>
      <c r="DO52" s="5"/>
      <c r="DP52" s="5"/>
      <c r="DQ52" s="5"/>
      <c r="DW52" s="54"/>
      <c r="DX52" s="54"/>
      <c r="DY52" s="152"/>
      <c r="DZ52" s="250"/>
      <c r="EA52" s="250"/>
      <c r="EB52" s="250"/>
      <c r="EC52" s="250"/>
      <c r="ED52" s="425"/>
      <c r="EF52" s="5"/>
      <c r="EG52" s="5"/>
      <c r="EH52" s="5"/>
      <c r="EN52" s="63"/>
      <c r="EO52" s="89"/>
      <c r="EP52" s="89"/>
      <c r="ER52" s="220"/>
      <c r="ES52" s="89"/>
      <c r="EU52" s="5"/>
      <c r="EV52" s="46">
        <v>0</v>
      </c>
      <c r="FE52" s="53"/>
      <c r="FF52" s="89"/>
      <c r="FH52" s="54"/>
      <c r="FI52" s="54"/>
      <c r="FL52" s="46">
        <v>0</v>
      </c>
      <c r="FU52" s="45">
        <v>0</v>
      </c>
      <c r="FV52" s="46">
        <v>0</v>
      </c>
      <c r="FW52" s="5">
        <v>0</v>
      </c>
      <c r="FX52" s="46">
        <v>0</v>
      </c>
      <c r="FY52" s="63">
        <v>1</v>
      </c>
      <c r="FZ52" s="203">
        <v>0.04</v>
      </c>
      <c r="GA52" s="152">
        <v>0.06</v>
      </c>
      <c r="GB52" s="54">
        <v>0.06</v>
      </c>
      <c r="GC52" s="152">
        <v>0.02</v>
      </c>
      <c r="GD52" s="250"/>
      <c r="GE52" s="250"/>
      <c r="GF52" s="250"/>
      <c r="GG52" s="250"/>
      <c r="GH52" s="46">
        <v>0</v>
      </c>
      <c r="GI52" s="46">
        <v>0</v>
      </c>
      <c r="GJ52" s="5">
        <v>0</v>
      </c>
      <c r="GK52" s="5">
        <v>2425.5280515314967</v>
      </c>
      <c r="GL52" s="5">
        <v>0</v>
      </c>
      <c r="GM52" s="45">
        <v>2232.7164330233154</v>
      </c>
      <c r="GN52" s="46">
        <v>0</v>
      </c>
      <c r="GO52" s="46">
        <v>0</v>
      </c>
      <c r="GP52" s="46">
        <v>0</v>
      </c>
      <c r="GQ52" s="46">
        <v>0</v>
      </c>
      <c r="GR52" s="54"/>
      <c r="GS52" s="54"/>
      <c r="GT52" s="152"/>
      <c r="GU52" s="250"/>
      <c r="GV52" s="250"/>
      <c r="GW52" s="250"/>
      <c r="GX52" s="250"/>
      <c r="HI52" s="54"/>
      <c r="HJ52" s="54"/>
      <c r="HK52" s="152"/>
      <c r="HL52" s="250"/>
      <c r="HM52" s="250"/>
      <c r="HN52" s="250"/>
      <c r="HO52" s="250"/>
      <c r="HZ52" s="63"/>
      <c r="IA52" s="89"/>
      <c r="IB52" s="54"/>
      <c r="ID52" s="89"/>
      <c r="IE52" s="89"/>
      <c r="IH52" s="46">
        <v>0</v>
      </c>
      <c r="IP52" s="63"/>
      <c r="IQ52" s="89"/>
      <c r="IR52" s="89"/>
      <c r="IT52" s="89"/>
      <c r="IU52" s="89"/>
      <c r="IV52" s="5"/>
      <c r="IW52" s="5"/>
      <c r="IX52" s="46">
        <v>0</v>
      </c>
    </row>
    <row r="53" spans="1:260" s="46" customFormat="1">
      <c r="A53" s="86">
        <v>23</v>
      </c>
      <c r="B53" s="117">
        <v>0</v>
      </c>
      <c r="C53" s="117">
        <v>0</v>
      </c>
      <c r="D53" s="117">
        <v>0</v>
      </c>
      <c r="E53" s="117">
        <v>0</v>
      </c>
      <c r="F53" s="29">
        <v>1</v>
      </c>
      <c r="G53" s="29">
        <v>1</v>
      </c>
      <c r="H53" s="47">
        <v>50702</v>
      </c>
      <c r="I53" s="68">
        <v>1.7215713975800986</v>
      </c>
      <c r="J53" s="68">
        <v>1.7215713975800986</v>
      </c>
      <c r="K53" s="117">
        <v>39233.979119747339</v>
      </c>
      <c r="L53" s="46">
        <v>0</v>
      </c>
      <c r="M53" s="46">
        <v>0</v>
      </c>
      <c r="N53" s="46">
        <v>0</v>
      </c>
      <c r="O53" s="46">
        <v>0</v>
      </c>
      <c r="P53" s="46">
        <v>5082.6065141994168</v>
      </c>
      <c r="Q53" s="46">
        <v>0</v>
      </c>
      <c r="R53" s="46">
        <v>34151.37260554792</v>
      </c>
      <c r="S53" s="46">
        <v>0</v>
      </c>
      <c r="T53" s="54">
        <v>4.3368086899420177E-19</v>
      </c>
      <c r="U53" s="54">
        <v>0</v>
      </c>
      <c r="V53" s="54">
        <v>1.7500000000000002E-2</v>
      </c>
      <c r="W53" s="54">
        <v>3.2500000000000001E-2</v>
      </c>
      <c r="X53" s="46">
        <v>6500</v>
      </c>
      <c r="Y53" s="46">
        <v>6500</v>
      </c>
      <c r="Z53" s="46">
        <v>0</v>
      </c>
      <c r="AA53" s="46">
        <v>0</v>
      </c>
      <c r="AB53" s="46">
        <v>0</v>
      </c>
      <c r="AC53" s="46">
        <v>0</v>
      </c>
      <c r="AD53" s="46">
        <v>0</v>
      </c>
      <c r="AE53" s="46">
        <v>0</v>
      </c>
      <c r="AF53" s="46">
        <v>34151.37260554792</v>
      </c>
      <c r="AG53" s="46">
        <v>4991.9217130373991</v>
      </c>
      <c r="AH53" s="46">
        <v>34151.37260554792</v>
      </c>
      <c r="AI53" s="46">
        <v>373253.60972067941</v>
      </c>
      <c r="AJ53" s="300">
        <v>1203</v>
      </c>
      <c r="AK53" s="300">
        <v>1121.8984615384616</v>
      </c>
      <c r="AL53" s="300">
        <v>1203</v>
      </c>
      <c r="AM53" s="300">
        <v>98.2</v>
      </c>
      <c r="AN53" s="300">
        <v>12.314330982612436</v>
      </c>
      <c r="AO53" s="300">
        <v>1313.5143309826124</v>
      </c>
      <c r="AP53" s="300">
        <v>34151.37260554792</v>
      </c>
      <c r="AQ53" s="300">
        <v>1692.9726055479232</v>
      </c>
      <c r="AR53" s="304"/>
      <c r="AS53" s="130">
        <v>2.6243902439024396E-2</v>
      </c>
      <c r="AT53" s="46">
        <v>0</v>
      </c>
      <c r="AU53" s="45"/>
      <c r="AV53" s="304">
        <v>0</v>
      </c>
      <c r="AW53" s="154">
        <v>0</v>
      </c>
      <c r="AX53" s="154">
        <v>0</v>
      </c>
      <c r="AY53" s="154">
        <v>0</v>
      </c>
      <c r="AZ53" s="154">
        <v>0</v>
      </c>
      <c r="BA53" s="154">
        <v>0</v>
      </c>
      <c r="BB53" s="162">
        <v>0</v>
      </c>
      <c r="BC53" s="45">
        <v>0</v>
      </c>
      <c r="BD53" s="45">
        <v>0</v>
      </c>
      <c r="BE53" s="45">
        <v>0</v>
      </c>
      <c r="BF53" s="46">
        <v>0</v>
      </c>
      <c r="BG53" s="250">
        <v>120251.76212096988</v>
      </c>
      <c r="BH53" s="152">
        <v>2.5000000000000001E-2</v>
      </c>
      <c r="BI53" s="152">
        <v>2.5000000000000001E-2</v>
      </c>
      <c r="BJ53" s="46">
        <v>0</v>
      </c>
      <c r="BK53" s="46">
        <v>0</v>
      </c>
      <c r="BL53" s="46">
        <v>0</v>
      </c>
      <c r="BM53" s="46">
        <v>4748.4133367916729</v>
      </c>
      <c r="BN53" s="46">
        <v>0</v>
      </c>
      <c r="BO53" s="46">
        <v>0</v>
      </c>
      <c r="BQ53" s="46">
        <v>0</v>
      </c>
      <c r="BR53" s="46">
        <v>0</v>
      </c>
      <c r="BS53" s="46">
        <v>0</v>
      </c>
      <c r="BT53" s="46">
        <v>0</v>
      </c>
      <c r="BU53" s="46">
        <v>0</v>
      </c>
      <c r="BV53" s="46">
        <v>5082.6065141994168</v>
      </c>
      <c r="BW53" s="46">
        <v>0</v>
      </c>
      <c r="BY53" s="5">
        <f t="shared" si="1"/>
        <v>70000</v>
      </c>
      <c r="BZ53" s="5">
        <f t="shared" si="6"/>
        <v>34151.37260554792</v>
      </c>
      <c r="CA53" s="5">
        <f t="shared" si="3"/>
        <v>0</v>
      </c>
      <c r="CB53" s="5">
        <f t="shared" si="0"/>
        <v>0</v>
      </c>
      <c r="CC53" s="5">
        <f t="shared" si="4"/>
        <v>5082.6065141994168</v>
      </c>
      <c r="CD53" s="5"/>
      <c r="CE53" s="5">
        <f t="shared" si="5"/>
        <v>0</v>
      </c>
      <c r="CF53" s="5"/>
      <c r="CG53" s="5"/>
      <c r="CI53" s="46">
        <v>0</v>
      </c>
      <c r="CJ53" s="46">
        <v>0</v>
      </c>
      <c r="CK53" s="46">
        <v>0</v>
      </c>
      <c r="CL53" s="46">
        <v>0</v>
      </c>
      <c r="CM53" s="63">
        <v>1</v>
      </c>
      <c r="CN53" s="203">
        <v>0.04</v>
      </c>
      <c r="CO53" s="152">
        <v>0.06</v>
      </c>
      <c r="CP53" s="54">
        <v>0.06</v>
      </c>
      <c r="CQ53" s="54">
        <v>0.02</v>
      </c>
      <c r="CR53" s="99"/>
      <c r="CS53" s="99"/>
      <c r="CT53" s="99"/>
      <c r="CU53" s="99"/>
      <c r="CV53" s="46">
        <v>0</v>
      </c>
      <c r="CW53" s="46">
        <v>0</v>
      </c>
      <c r="CX53" s="146">
        <v>0</v>
      </c>
      <c r="CY53" s="5">
        <v>3155.1584410165815</v>
      </c>
      <c r="CZ53" s="5">
        <v>0</v>
      </c>
      <c r="DA53" s="46">
        <v>2904.3465795425232</v>
      </c>
      <c r="DB53" s="46">
        <v>0</v>
      </c>
      <c r="DC53" s="46">
        <v>0</v>
      </c>
      <c r="DD53" s="46">
        <v>0</v>
      </c>
      <c r="DE53" s="46">
        <v>0</v>
      </c>
      <c r="DF53" s="54"/>
      <c r="DG53" s="54"/>
      <c r="DH53" s="54"/>
      <c r="DI53" s="99"/>
      <c r="DJ53" s="99"/>
      <c r="DK53" s="99"/>
      <c r="DL53" s="99"/>
      <c r="DO53" s="5"/>
      <c r="DP53" s="5"/>
      <c r="DQ53" s="5"/>
      <c r="DW53" s="54"/>
      <c r="DX53" s="54"/>
      <c r="DY53" s="54"/>
      <c r="DZ53" s="99"/>
      <c r="EA53" s="99"/>
      <c r="EB53" s="99"/>
      <c r="EC53" s="99"/>
      <c r="ED53" s="425"/>
      <c r="EF53" s="5"/>
      <c r="EG53" s="5"/>
      <c r="EH53" s="5"/>
      <c r="EN53" s="63"/>
      <c r="EO53" s="89"/>
      <c r="EP53" s="89"/>
      <c r="ER53" s="220"/>
      <c r="ES53" s="89"/>
      <c r="EV53" s="46">
        <v>0</v>
      </c>
      <c r="FE53" s="53"/>
      <c r="FF53" s="89"/>
      <c r="FH53" s="54"/>
      <c r="FI53" s="54"/>
      <c r="FL53" s="46">
        <v>0</v>
      </c>
      <c r="FU53" s="45">
        <v>0</v>
      </c>
      <c r="FV53" s="46">
        <v>0</v>
      </c>
      <c r="FW53" s="5">
        <v>0</v>
      </c>
      <c r="FX53" s="46">
        <v>0</v>
      </c>
      <c r="FY53" s="63">
        <v>1</v>
      </c>
      <c r="FZ53" s="203">
        <v>0.04</v>
      </c>
      <c r="GA53" s="152">
        <v>0.06</v>
      </c>
      <c r="GB53" s="54">
        <v>0.06</v>
      </c>
      <c r="GC53" s="152">
        <v>0.02</v>
      </c>
      <c r="GD53" s="99"/>
      <c r="GE53" s="99"/>
      <c r="GF53" s="99"/>
      <c r="GG53" s="99"/>
      <c r="GH53" s="46">
        <v>0</v>
      </c>
      <c r="GI53" s="46">
        <v>0</v>
      </c>
      <c r="GJ53" s="5">
        <v>0</v>
      </c>
      <c r="GK53" s="5">
        <v>2366.3688307624361</v>
      </c>
      <c r="GL53" s="5">
        <v>0</v>
      </c>
      <c r="GM53" s="45">
        <v>2178.2599346568932</v>
      </c>
      <c r="GN53" s="46">
        <v>0</v>
      </c>
      <c r="GO53" s="46">
        <v>0</v>
      </c>
      <c r="GP53" s="46">
        <v>0</v>
      </c>
      <c r="GQ53" s="46">
        <v>0</v>
      </c>
      <c r="GR53" s="54"/>
      <c r="GS53" s="54"/>
      <c r="GT53" s="54"/>
      <c r="GU53" s="99"/>
      <c r="GV53" s="99"/>
      <c r="GW53" s="99"/>
      <c r="GX53" s="99"/>
      <c r="HI53" s="54"/>
      <c r="HJ53" s="54"/>
      <c r="HK53" s="54"/>
      <c r="HL53" s="99"/>
      <c r="HM53" s="99"/>
      <c r="HN53" s="99"/>
      <c r="HO53" s="99"/>
      <c r="HZ53" s="63"/>
      <c r="IA53" s="89"/>
      <c r="IB53" s="54"/>
      <c r="ID53" s="89"/>
      <c r="IE53" s="89"/>
      <c r="IH53" s="46">
        <v>0</v>
      </c>
      <c r="IP53" s="63"/>
      <c r="IQ53" s="89"/>
      <c r="IR53" s="89"/>
      <c r="IT53" s="89"/>
      <c r="IU53" s="89"/>
      <c r="IV53" s="5"/>
      <c r="IW53" s="5"/>
      <c r="IX53" s="46">
        <v>0</v>
      </c>
    </row>
    <row r="54" spans="1:260" s="46" customFormat="1">
      <c r="A54" s="86">
        <v>24</v>
      </c>
      <c r="B54" s="117">
        <v>0</v>
      </c>
      <c r="C54" s="117">
        <v>0</v>
      </c>
      <c r="D54" s="117">
        <v>0</v>
      </c>
      <c r="E54" s="117">
        <v>0</v>
      </c>
      <c r="F54" s="29">
        <v>1</v>
      </c>
      <c r="G54" s="29">
        <v>1</v>
      </c>
      <c r="H54" s="47">
        <v>51067</v>
      </c>
      <c r="I54" s="68">
        <v>1.7646106825196011</v>
      </c>
      <c r="J54" s="68">
        <v>1.7646106825196011</v>
      </c>
      <c r="K54" s="117">
        <v>39102.204019265693</v>
      </c>
      <c r="L54" s="46">
        <v>0</v>
      </c>
      <c r="M54" s="46">
        <v>0</v>
      </c>
      <c r="N54" s="46">
        <v>0</v>
      </c>
      <c r="O54" s="46">
        <v>0</v>
      </c>
      <c r="P54" s="46">
        <v>4958.6405016579674</v>
      </c>
      <c r="Q54" s="46">
        <v>0</v>
      </c>
      <c r="R54" s="46">
        <v>34143.563517607727</v>
      </c>
      <c r="S54" s="46">
        <v>0</v>
      </c>
      <c r="T54" s="54">
        <v>4.3368086899420177E-19</v>
      </c>
      <c r="U54" s="54">
        <v>0</v>
      </c>
      <c r="V54" s="54">
        <v>1.7500000000000002E-2</v>
      </c>
      <c r="W54" s="54">
        <v>3.2500000000000001E-2</v>
      </c>
      <c r="X54" s="46">
        <v>6500</v>
      </c>
      <c r="Y54" s="46">
        <v>6500</v>
      </c>
      <c r="Z54" s="46">
        <v>0</v>
      </c>
      <c r="AA54" s="46">
        <v>0</v>
      </c>
      <c r="AB54" s="46">
        <v>0</v>
      </c>
      <c r="AC54" s="46">
        <v>0</v>
      </c>
      <c r="AD54" s="46">
        <v>0</v>
      </c>
      <c r="AE54" s="46">
        <v>0</v>
      </c>
      <c r="AF54" s="46">
        <v>34143.563517607727</v>
      </c>
      <c r="AG54" s="46">
        <v>4748.4133367916729</v>
      </c>
      <c r="AH54" s="46">
        <v>34143.563517607727</v>
      </c>
      <c r="AI54" s="46">
        <v>373253.60972067941</v>
      </c>
      <c r="AJ54" s="300">
        <v>1203</v>
      </c>
      <c r="AK54" s="300">
        <v>1121.8984615384616</v>
      </c>
      <c r="AL54" s="300">
        <v>1203</v>
      </c>
      <c r="AM54" s="300">
        <v>98.2</v>
      </c>
      <c r="AN54" s="300">
        <v>12.013981446451156</v>
      </c>
      <c r="AO54" s="300">
        <v>1313.213981446451</v>
      </c>
      <c r="AP54" s="300">
        <v>34143.563517607727</v>
      </c>
      <c r="AQ54" s="300">
        <v>1685.16351760773</v>
      </c>
      <c r="AR54" s="304"/>
      <c r="AS54" s="130">
        <v>2.6243902439024396E-2</v>
      </c>
      <c r="AT54" s="46">
        <v>0</v>
      </c>
      <c r="AU54" s="45"/>
      <c r="AV54" s="304">
        <v>0</v>
      </c>
      <c r="AW54" s="154">
        <v>0</v>
      </c>
      <c r="AX54" s="154">
        <v>0</v>
      </c>
      <c r="AY54" s="154">
        <v>0</v>
      </c>
      <c r="AZ54" s="154">
        <v>0</v>
      </c>
      <c r="BA54" s="154">
        <v>0</v>
      </c>
      <c r="BB54" s="162">
        <v>0</v>
      </c>
      <c r="BC54" s="45">
        <v>0</v>
      </c>
      <c r="BD54" s="45">
        <v>0</v>
      </c>
      <c r="BE54" s="45">
        <v>0</v>
      </c>
      <c r="BF54" s="46">
        <v>0</v>
      </c>
      <c r="BG54" s="250">
        <v>123258.05617399413</v>
      </c>
      <c r="BH54" s="152">
        <v>2.5000000000000001E-2</v>
      </c>
      <c r="BI54" s="152">
        <v>2.5000000000000001E-2</v>
      </c>
      <c r="BJ54" s="46">
        <v>0</v>
      </c>
      <c r="BK54" s="46">
        <v>0</v>
      </c>
      <c r="BL54" s="46">
        <v>0</v>
      </c>
      <c r="BM54" s="46">
        <v>4516.7834179237861</v>
      </c>
      <c r="BN54" s="46">
        <v>0</v>
      </c>
      <c r="BO54" s="46">
        <v>0</v>
      </c>
      <c r="BQ54" s="46">
        <v>0</v>
      </c>
      <c r="BR54" s="46">
        <v>0</v>
      </c>
      <c r="BS54" s="46">
        <v>0</v>
      </c>
      <c r="BT54" s="46">
        <v>0</v>
      </c>
      <c r="BU54" s="46">
        <v>0</v>
      </c>
      <c r="BV54" s="46">
        <v>4958.6405016579674</v>
      </c>
      <c r="BW54" s="46">
        <v>0</v>
      </c>
      <c r="BY54" s="5">
        <f t="shared" si="1"/>
        <v>70000</v>
      </c>
      <c r="BZ54" s="5">
        <f t="shared" ref="BZ54:BZ63" si="7">R54</f>
        <v>34143.563517607727</v>
      </c>
      <c r="CA54" s="5">
        <f t="shared" si="3"/>
        <v>0</v>
      </c>
      <c r="CB54" s="5">
        <f t="shared" si="0"/>
        <v>0</v>
      </c>
      <c r="CC54" s="5">
        <f t="shared" si="4"/>
        <v>4958.6405016579674</v>
      </c>
      <c r="CD54" s="5"/>
      <c r="CE54" s="5">
        <f t="shared" si="5"/>
        <v>0</v>
      </c>
      <c r="CF54" s="5"/>
      <c r="CG54" s="5"/>
      <c r="CI54" s="46">
        <v>0</v>
      </c>
      <c r="CJ54" s="46">
        <v>0</v>
      </c>
      <c r="CK54" s="46">
        <v>0</v>
      </c>
      <c r="CL54" s="46">
        <v>0</v>
      </c>
      <c r="CM54" s="63">
        <v>1</v>
      </c>
      <c r="CN54" s="203">
        <v>0.04</v>
      </c>
      <c r="CO54" s="152">
        <v>0.06</v>
      </c>
      <c r="CP54" s="54">
        <v>0.06</v>
      </c>
      <c r="CQ54" s="54">
        <v>0.02</v>
      </c>
      <c r="CR54" s="99"/>
      <c r="CS54" s="99"/>
      <c r="CT54" s="99"/>
      <c r="CU54" s="99"/>
      <c r="CV54" s="46">
        <v>0</v>
      </c>
      <c r="CW54" s="46">
        <v>0</v>
      </c>
      <c r="CX54" s="146">
        <v>0</v>
      </c>
      <c r="CY54" s="5">
        <v>3078.2033570893477</v>
      </c>
      <c r="CZ54" s="5">
        <v>0</v>
      </c>
      <c r="DA54" s="46">
        <v>2833.5088580902666</v>
      </c>
      <c r="DB54" s="46">
        <v>0</v>
      </c>
      <c r="DC54" s="46">
        <v>0</v>
      </c>
      <c r="DD54" s="46">
        <v>0</v>
      </c>
      <c r="DE54" s="46">
        <v>0</v>
      </c>
      <c r="DF54" s="54"/>
      <c r="DG54" s="54"/>
      <c r="DH54" s="54"/>
      <c r="DI54" s="99"/>
      <c r="DJ54" s="99"/>
      <c r="DK54" s="99"/>
      <c r="DL54" s="99"/>
      <c r="DO54" s="5"/>
      <c r="DP54" s="5"/>
      <c r="DQ54" s="5"/>
      <c r="DW54" s="54"/>
      <c r="DX54" s="54"/>
      <c r="DY54" s="54"/>
      <c r="DZ54" s="99"/>
      <c r="EA54" s="99"/>
      <c r="EB54" s="99"/>
      <c r="EC54" s="99"/>
      <c r="ED54" s="425"/>
      <c r="EF54" s="5"/>
      <c r="EG54" s="5"/>
      <c r="EH54" s="5"/>
      <c r="EN54" s="63"/>
      <c r="EO54" s="89"/>
      <c r="EP54" s="89"/>
      <c r="ER54" s="220"/>
      <c r="ES54" s="89"/>
      <c r="EV54" s="46">
        <v>0</v>
      </c>
      <c r="FE54" s="53"/>
      <c r="FF54" s="89"/>
      <c r="FH54" s="54"/>
      <c r="FI54" s="54"/>
      <c r="FL54" s="46">
        <v>0</v>
      </c>
      <c r="FU54" s="45">
        <v>0</v>
      </c>
      <c r="FV54" s="46">
        <v>0</v>
      </c>
      <c r="FW54" s="5">
        <v>0</v>
      </c>
      <c r="FX54" s="46">
        <v>0</v>
      </c>
      <c r="FY54" s="63">
        <v>1</v>
      </c>
      <c r="FZ54" s="203">
        <v>0.04</v>
      </c>
      <c r="GA54" s="152">
        <v>0.06</v>
      </c>
      <c r="GB54" s="54">
        <v>0.06</v>
      </c>
      <c r="GC54" s="54">
        <v>0.02</v>
      </c>
      <c r="GD54" s="99"/>
      <c r="GE54" s="99"/>
      <c r="GF54" s="99"/>
      <c r="GG54" s="99"/>
      <c r="GH54" s="46">
        <v>0</v>
      </c>
      <c r="GI54" s="46">
        <v>0</v>
      </c>
      <c r="GJ54" s="5">
        <v>0</v>
      </c>
      <c r="GK54" s="5">
        <v>2308.6525178170109</v>
      </c>
      <c r="GL54" s="5">
        <v>0</v>
      </c>
      <c r="GM54" s="45">
        <v>2125.1316435677008</v>
      </c>
      <c r="GN54" s="46">
        <v>0</v>
      </c>
      <c r="GO54" s="46">
        <v>0</v>
      </c>
      <c r="GP54" s="46">
        <v>0</v>
      </c>
      <c r="GQ54" s="46">
        <v>0</v>
      </c>
      <c r="GR54" s="54"/>
      <c r="GS54" s="54"/>
      <c r="GT54" s="54"/>
      <c r="GU54" s="99"/>
      <c r="GV54" s="99"/>
      <c r="GW54" s="99"/>
      <c r="GX54" s="99"/>
      <c r="HI54" s="54"/>
      <c r="HJ54" s="54"/>
      <c r="HK54" s="54"/>
      <c r="HL54" s="99"/>
      <c r="HM54" s="99"/>
      <c r="HN54" s="99"/>
      <c r="HO54" s="99"/>
      <c r="HZ54" s="63"/>
      <c r="IA54" s="89"/>
      <c r="IB54" s="54"/>
      <c r="ID54" s="89"/>
      <c r="IE54" s="89"/>
      <c r="IH54" s="46">
        <v>0</v>
      </c>
      <c r="IP54" s="63"/>
      <c r="IQ54" s="89"/>
      <c r="IR54" s="89"/>
      <c r="IT54" s="89"/>
      <c r="IU54" s="89"/>
      <c r="IV54" s="5"/>
      <c r="IW54" s="5"/>
      <c r="IX54" s="46">
        <v>0</v>
      </c>
    </row>
    <row r="55" spans="1:260" s="46" customFormat="1">
      <c r="A55" s="86">
        <v>25</v>
      </c>
      <c r="B55" s="117">
        <v>0</v>
      </c>
      <c r="C55" s="117">
        <v>0</v>
      </c>
      <c r="D55" s="117">
        <v>0</v>
      </c>
      <c r="E55" s="117">
        <v>0</v>
      </c>
      <c r="F55" s="29">
        <v>1</v>
      </c>
      <c r="G55" s="29">
        <v>1</v>
      </c>
      <c r="H55" s="47">
        <v>51433</v>
      </c>
      <c r="I55" s="68">
        <v>1.8087259495825911</v>
      </c>
      <c r="J55" s="68">
        <v>1.8087259495825911</v>
      </c>
      <c r="K55" s="117">
        <v>38973.64294562507</v>
      </c>
      <c r="L55" s="46">
        <v>0</v>
      </c>
      <c r="M55" s="46">
        <v>0</v>
      </c>
      <c r="N55" s="46">
        <v>0</v>
      </c>
      <c r="O55" s="46">
        <v>0</v>
      </c>
      <c r="P55" s="46">
        <v>4837.6980503980176</v>
      </c>
      <c r="Q55" s="46">
        <v>0</v>
      </c>
      <c r="R55" s="46">
        <v>34135.944895227054</v>
      </c>
      <c r="S55" s="46">
        <v>0</v>
      </c>
      <c r="T55" s="54">
        <v>4.3368086899420177E-19</v>
      </c>
      <c r="U55" s="54">
        <v>0</v>
      </c>
      <c r="V55" s="54">
        <v>1.7500000000000002E-2</v>
      </c>
      <c r="W55" s="54">
        <v>3.2500000000000001E-2</v>
      </c>
      <c r="X55" s="46">
        <v>6500</v>
      </c>
      <c r="Y55" s="46">
        <v>6500</v>
      </c>
      <c r="Z55" s="46">
        <v>0</v>
      </c>
      <c r="AA55" s="46">
        <v>0</v>
      </c>
      <c r="AB55" s="46">
        <v>0</v>
      </c>
      <c r="AC55" s="46">
        <v>0</v>
      </c>
      <c r="AD55" s="46">
        <v>0</v>
      </c>
      <c r="AE55" s="46">
        <v>0</v>
      </c>
      <c r="AF55" s="46">
        <v>34135.944895227054</v>
      </c>
      <c r="AG55" s="46">
        <v>4516.7834179237861</v>
      </c>
      <c r="AH55" s="46">
        <v>34135.944895227054</v>
      </c>
      <c r="AI55" s="46">
        <v>373253.60972067941</v>
      </c>
      <c r="AJ55" s="300">
        <v>1203</v>
      </c>
      <c r="AK55" s="300">
        <v>1121.8984615384616</v>
      </c>
      <c r="AL55" s="300">
        <v>1203</v>
      </c>
      <c r="AM55" s="300">
        <v>98.2</v>
      </c>
      <c r="AN55" s="300">
        <v>11.720957508732836</v>
      </c>
      <c r="AO55" s="300">
        <v>1312.920957508733</v>
      </c>
      <c r="AP55" s="300">
        <v>34135.944895227054</v>
      </c>
      <c r="AQ55" s="300">
        <v>1677.5448952270535</v>
      </c>
      <c r="AR55" s="304"/>
      <c r="AS55" s="130">
        <v>2.6243902439024396E-2</v>
      </c>
      <c r="AT55" s="46">
        <v>0</v>
      </c>
      <c r="AU55" s="45"/>
      <c r="AV55" s="304">
        <v>0</v>
      </c>
      <c r="AW55" s="162">
        <v>0</v>
      </c>
      <c r="AX55" s="162">
        <v>0</v>
      </c>
      <c r="AY55" s="162">
        <v>0</v>
      </c>
      <c r="AZ55" s="162">
        <v>0</v>
      </c>
      <c r="BA55" s="162">
        <v>0</v>
      </c>
      <c r="BB55" s="162">
        <v>0</v>
      </c>
      <c r="BC55" s="45">
        <v>0</v>
      </c>
      <c r="BD55" s="45">
        <v>0</v>
      </c>
      <c r="BE55" s="45">
        <v>0</v>
      </c>
      <c r="BF55" s="46">
        <v>0</v>
      </c>
      <c r="BG55" s="250">
        <v>126339.507578344</v>
      </c>
      <c r="BH55" s="152">
        <v>2.5000000000000001E-2</v>
      </c>
      <c r="BI55" s="152">
        <v>2.5000000000000001E-2</v>
      </c>
      <c r="BJ55" s="46">
        <v>0</v>
      </c>
      <c r="BK55" s="46">
        <v>0</v>
      </c>
      <c r="BL55" s="46">
        <v>0</v>
      </c>
      <c r="BM55" s="46">
        <v>4296.4525194884791</v>
      </c>
      <c r="BN55" s="46">
        <v>0</v>
      </c>
      <c r="BO55" s="46">
        <v>0</v>
      </c>
      <c r="BQ55" s="46">
        <v>0</v>
      </c>
      <c r="BR55" s="46">
        <v>0</v>
      </c>
      <c r="BS55" s="46">
        <v>0</v>
      </c>
      <c r="BT55" s="46">
        <v>0</v>
      </c>
      <c r="BU55" s="46">
        <v>0</v>
      </c>
      <c r="BV55" s="46">
        <v>4837.6980503980176</v>
      </c>
      <c r="BW55" s="46">
        <v>0</v>
      </c>
      <c r="BY55" s="5">
        <f t="shared" si="1"/>
        <v>70000</v>
      </c>
      <c r="BZ55" s="5">
        <f t="shared" si="7"/>
        <v>34135.944895227054</v>
      </c>
      <c r="CA55" s="5">
        <f t="shared" si="3"/>
        <v>0</v>
      </c>
      <c r="CB55" s="5">
        <f t="shared" si="0"/>
        <v>0</v>
      </c>
      <c r="CC55" s="5">
        <f t="shared" si="4"/>
        <v>4837.6980503980176</v>
      </c>
      <c r="CD55" s="5"/>
      <c r="CE55" s="5">
        <f t="shared" si="5"/>
        <v>0</v>
      </c>
      <c r="CF55" s="5"/>
      <c r="CG55" s="5"/>
      <c r="CI55" s="46">
        <v>0</v>
      </c>
      <c r="CJ55" s="46">
        <v>0</v>
      </c>
      <c r="CK55" s="46">
        <v>0</v>
      </c>
      <c r="CL55" s="46">
        <v>0</v>
      </c>
      <c r="CM55" s="63">
        <v>1</v>
      </c>
      <c r="CN55" s="203">
        <v>0.04</v>
      </c>
      <c r="CO55" s="152">
        <v>0.06</v>
      </c>
      <c r="CP55" s="54">
        <v>0.06</v>
      </c>
      <c r="CQ55" s="54">
        <v>0.02</v>
      </c>
      <c r="CR55" s="99"/>
      <c r="CS55" s="99"/>
      <c r="CT55" s="99"/>
      <c r="CU55" s="99"/>
      <c r="CV55" s="46">
        <v>0</v>
      </c>
      <c r="CW55" s="46">
        <v>0</v>
      </c>
      <c r="CX55" s="146">
        <v>0</v>
      </c>
      <c r="CY55" s="5">
        <v>3003.1252264286318</v>
      </c>
      <c r="CZ55" s="5">
        <v>0</v>
      </c>
      <c r="DA55" s="46">
        <v>2764.3988859417236</v>
      </c>
      <c r="DB55" s="46">
        <v>0</v>
      </c>
      <c r="DC55" s="46">
        <v>0</v>
      </c>
      <c r="DD55" s="46">
        <v>0</v>
      </c>
      <c r="DE55" s="46">
        <v>0</v>
      </c>
      <c r="DF55" s="54"/>
      <c r="DG55" s="54"/>
      <c r="DH55" s="54"/>
      <c r="DI55" s="99"/>
      <c r="DJ55" s="99"/>
      <c r="DK55" s="99"/>
      <c r="DL55" s="99"/>
      <c r="DO55" s="5"/>
      <c r="DP55" s="5"/>
      <c r="DQ55" s="5"/>
      <c r="DW55" s="54"/>
      <c r="DX55" s="54"/>
      <c r="DY55" s="54"/>
      <c r="DZ55" s="99"/>
      <c r="EA55" s="99"/>
      <c r="EB55" s="99"/>
      <c r="EC55" s="99"/>
      <c r="ED55" s="425"/>
      <c r="EF55" s="5"/>
      <c r="EG55" s="5"/>
      <c r="EH55" s="5"/>
      <c r="EN55" s="63"/>
      <c r="EO55" s="89"/>
      <c r="EP55" s="89"/>
      <c r="ER55" s="220"/>
      <c r="ES55" s="89"/>
      <c r="EV55" s="46">
        <v>0</v>
      </c>
      <c r="FE55" s="53"/>
      <c r="FF55" s="89"/>
      <c r="FH55" s="54"/>
      <c r="FI55" s="54"/>
      <c r="FL55" s="46">
        <v>0</v>
      </c>
      <c r="FU55" s="45">
        <v>0</v>
      </c>
      <c r="FV55" s="46">
        <v>0</v>
      </c>
      <c r="FW55" s="46">
        <v>0</v>
      </c>
      <c r="FX55" s="46">
        <v>0</v>
      </c>
      <c r="FY55" s="63">
        <v>1</v>
      </c>
      <c r="FZ55" s="203">
        <v>0.04</v>
      </c>
      <c r="GA55" s="152">
        <v>0.06</v>
      </c>
      <c r="GB55" s="54">
        <v>0.06</v>
      </c>
      <c r="GC55" s="54">
        <v>0.02</v>
      </c>
      <c r="GD55" s="99"/>
      <c r="GE55" s="99"/>
      <c r="GF55" s="99"/>
      <c r="GG55" s="99"/>
      <c r="GH55" s="46">
        <v>0</v>
      </c>
      <c r="GI55" s="46">
        <v>0</v>
      </c>
      <c r="GJ55" s="5">
        <v>0</v>
      </c>
      <c r="GK55" s="5">
        <v>2252.3439198214737</v>
      </c>
      <c r="GL55" s="5">
        <v>0</v>
      </c>
      <c r="GM55" s="45">
        <v>2073.2991644562935</v>
      </c>
      <c r="GN55" s="46">
        <v>0</v>
      </c>
      <c r="GO55" s="46">
        <v>0</v>
      </c>
      <c r="GP55" s="46">
        <v>0</v>
      </c>
      <c r="GQ55" s="46">
        <v>0</v>
      </c>
      <c r="GR55" s="54"/>
      <c r="GS55" s="54"/>
      <c r="GT55" s="54"/>
      <c r="GU55" s="99"/>
      <c r="GV55" s="99"/>
      <c r="GW55" s="99"/>
      <c r="GX55" s="99"/>
      <c r="HI55" s="54"/>
      <c r="HJ55" s="54"/>
      <c r="HK55" s="54"/>
      <c r="HL55" s="99"/>
      <c r="HM55" s="99"/>
      <c r="HN55" s="99"/>
      <c r="HO55" s="99"/>
      <c r="HZ55" s="63"/>
      <c r="IA55" s="89"/>
      <c r="IB55" s="54"/>
      <c r="ID55" s="89"/>
      <c r="IE55" s="89"/>
      <c r="IH55" s="46">
        <v>0</v>
      </c>
      <c r="IP55" s="63"/>
      <c r="IQ55" s="89"/>
      <c r="IR55" s="89"/>
      <c r="IT55" s="89"/>
      <c r="IU55" s="89"/>
      <c r="IV55" s="5"/>
      <c r="IW55" s="5"/>
      <c r="IX55" s="46">
        <v>0</v>
      </c>
    </row>
    <row r="56" spans="1:260" s="46" customFormat="1">
      <c r="A56" s="86">
        <v>26</v>
      </c>
      <c r="B56" s="117">
        <v>0</v>
      </c>
      <c r="C56" s="117">
        <v>0</v>
      </c>
      <c r="D56" s="117">
        <v>0</v>
      </c>
      <c r="E56" s="117">
        <v>0</v>
      </c>
      <c r="F56" s="29">
        <v>1</v>
      </c>
      <c r="G56" s="29">
        <v>1</v>
      </c>
      <c r="H56" s="47">
        <v>51798</v>
      </c>
      <c r="I56" s="68">
        <v>1.853944098322156</v>
      </c>
      <c r="J56" s="68">
        <v>1.853944098322156</v>
      </c>
      <c r="K56" s="117">
        <v>38848.2175079269</v>
      </c>
      <c r="L56" s="46">
        <v>0</v>
      </c>
      <c r="M56" s="46">
        <v>0</v>
      </c>
      <c r="N56" s="46">
        <v>0</v>
      </c>
      <c r="O56" s="46">
        <v>0</v>
      </c>
      <c r="P56" s="46">
        <v>4719.7054150224558</v>
      </c>
      <c r="Q56" s="46">
        <v>0</v>
      </c>
      <c r="R56" s="46">
        <v>34128.512092904442</v>
      </c>
      <c r="S56" s="46">
        <v>0</v>
      </c>
      <c r="T56" s="54">
        <v>4.3368086899420177E-19</v>
      </c>
      <c r="U56" s="54">
        <v>0</v>
      </c>
      <c r="V56" s="54">
        <v>1.7500000000000002E-2</v>
      </c>
      <c r="W56" s="54">
        <v>3.2500000000000001E-2</v>
      </c>
      <c r="X56" s="46">
        <v>6500</v>
      </c>
      <c r="Y56" s="46">
        <v>6500</v>
      </c>
      <c r="Z56" s="46">
        <v>0</v>
      </c>
      <c r="AA56" s="46">
        <v>0</v>
      </c>
      <c r="AB56" s="46">
        <v>0</v>
      </c>
      <c r="AC56" s="46">
        <v>0</v>
      </c>
      <c r="AD56" s="46">
        <v>0</v>
      </c>
      <c r="AE56" s="46">
        <v>0</v>
      </c>
      <c r="AF56" s="46">
        <v>34128.512092904442</v>
      </c>
      <c r="AG56" s="46">
        <v>4296.4525194884791</v>
      </c>
      <c r="AH56" s="46">
        <v>34128.512092904442</v>
      </c>
      <c r="AI56" s="46">
        <v>373253.60972067941</v>
      </c>
      <c r="AJ56" s="300">
        <v>1203</v>
      </c>
      <c r="AK56" s="300">
        <v>1121.8984615384616</v>
      </c>
      <c r="AL56" s="300">
        <v>1203</v>
      </c>
      <c r="AM56" s="300">
        <v>98.2</v>
      </c>
      <c r="AN56" s="300">
        <v>11.435080496324717</v>
      </c>
      <c r="AO56" s="300">
        <v>1312.6350804963247</v>
      </c>
      <c r="AP56" s="300">
        <v>34128.512092904442</v>
      </c>
      <c r="AQ56" s="300">
        <v>1670.1120929044425</v>
      </c>
      <c r="AR56" s="304"/>
      <c r="AS56" s="130">
        <v>2.6243902439024396E-2</v>
      </c>
      <c r="AT56" s="46">
        <v>0</v>
      </c>
      <c r="AU56" s="45"/>
      <c r="AV56" s="304">
        <v>0</v>
      </c>
      <c r="AW56" s="162">
        <v>0</v>
      </c>
      <c r="AX56" s="162">
        <v>0</v>
      </c>
      <c r="AY56" s="162">
        <v>0</v>
      </c>
      <c r="AZ56" s="162">
        <v>0</v>
      </c>
      <c r="BA56" s="162">
        <v>0</v>
      </c>
      <c r="BB56" s="162">
        <v>0</v>
      </c>
      <c r="BC56" s="45">
        <v>0</v>
      </c>
      <c r="BD56" s="45">
        <v>0</v>
      </c>
      <c r="BE56" s="45">
        <v>0</v>
      </c>
      <c r="BF56" s="46">
        <v>0</v>
      </c>
      <c r="BG56" s="250">
        <v>129497.9952678026</v>
      </c>
      <c r="BH56" s="152">
        <v>2.5000000000000001E-2</v>
      </c>
      <c r="BI56" s="152">
        <v>2.5000000000000001E-2</v>
      </c>
      <c r="BJ56" s="46">
        <v>0</v>
      </c>
      <c r="BK56" s="46">
        <v>0</v>
      </c>
      <c r="BL56" s="46">
        <v>0</v>
      </c>
      <c r="BM56" s="46">
        <v>4086.8694697573337</v>
      </c>
      <c r="BN56" s="46">
        <v>0</v>
      </c>
      <c r="BO56" s="46">
        <v>0</v>
      </c>
      <c r="BQ56" s="46">
        <v>0</v>
      </c>
      <c r="BR56" s="46">
        <v>0</v>
      </c>
      <c r="BS56" s="46">
        <v>0</v>
      </c>
      <c r="BT56" s="46">
        <v>0</v>
      </c>
      <c r="BU56" s="46">
        <v>0</v>
      </c>
      <c r="BV56" s="46">
        <v>4719.7054150224558</v>
      </c>
      <c r="BW56" s="46">
        <v>0</v>
      </c>
      <c r="BY56" s="5">
        <f t="shared" si="1"/>
        <v>70000</v>
      </c>
      <c r="BZ56" s="5">
        <f t="shared" si="7"/>
        <v>34128.512092904442</v>
      </c>
      <c r="CA56" s="5">
        <f t="shared" si="3"/>
        <v>0</v>
      </c>
      <c r="CB56" s="5">
        <f t="shared" si="0"/>
        <v>0</v>
      </c>
      <c r="CC56" s="5">
        <f t="shared" si="4"/>
        <v>4719.7054150224558</v>
      </c>
      <c r="CD56" s="5"/>
      <c r="CE56" s="5">
        <f t="shared" si="5"/>
        <v>0</v>
      </c>
      <c r="CF56" s="5"/>
      <c r="CG56" s="5"/>
      <c r="CI56" s="46">
        <v>0</v>
      </c>
      <c r="CJ56" s="46">
        <v>0</v>
      </c>
      <c r="CK56" s="46">
        <v>0</v>
      </c>
      <c r="CL56" s="46">
        <v>0</v>
      </c>
      <c r="CM56" s="63">
        <v>1</v>
      </c>
      <c r="CN56" s="203">
        <v>0.04</v>
      </c>
      <c r="CO56" s="152">
        <v>0.06</v>
      </c>
      <c r="CP56" s="54">
        <v>0.06</v>
      </c>
      <c r="CQ56" s="54">
        <v>0.02</v>
      </c>
      <c r="CR56" s="99"/>
      <c r="CS56" s="99"/>
      <c r="CT56" s="99"/>
      <c r="CU56" s="99"/>
      <c r="CV56" s="46">
        <v>0</v>
      </c>
      <c r="CW56" s="46">
        <v>0</v>
      </c>
      <c r="CX56" s="146">
        <v>0</v>
      </c>
      <c r="CY56" s="5">
        <v>2929.87826968647</v>
      </c>
      <c r="CZ56" s="5">
        <v>0</v>
      </c>
      <c r="DA56" s="46">
        <v>2696.9745228699744</v>
      </c>
      <c r="DB56" s="46">
        <v>0</v>
      </c>
      <c r="DC56" s="46">
        <v>0</v>
      </c>
      <c r="DD56" s="46">
        <v>0</v>
      </c>
      <c r="DE56" s="46">
        <v>0</v>
      </c>
      <c r="DF56" s="54"/>
      <c r="DG56" s="54"/>
      <c r="DH56" s="54"/>
      <c r="DI56" s="99"/>
      <c r="DJ56" s="99"/>
      <c r="DK56" s="99"/>
      <c r="DL56" s="99"/>
      <c r="DO56" s="5"/>
      <c r="DP56" s="5"/>
      <c r="DQ56" s="5"/>
      <c r="DW56" s="54"/>
      <c r="DX56" s="54"/>
      <c r="DY56" s="54"/>
      <c r="DZ56" s="99"/>
      <c r="EA56" s="99"/>
      <c r="EB56" s="99"/>
      <c r="EC56" s="99"/>
      <c r="ED56" s="425"/>
      <c r="EF56" s="5"/>
      <c r="EG56" s="5"/>
      <c r="EH56" s="5"/>
      <c r="EN56" s="63"/>
      <c r="EO56" s="89"/>
      <c r="EP56" s="89"/>
      <c r="ER56" s="220"/>
      <c r="ES56" s="89"/>
      <c r="EV56" s="46">
        <v>0</v>
      </c>
      <c r="FE56" s="53"/>
      <c r="FF56" s="89"/>
      <c r="FH56" s="54"/>
      <c r="FI56" s="54"/>
      <c r="FL56" s="46">
        <v>0</v>
      </c>
      <c r="FU56" s="45">
        <v>0</v>
      </c>
      <c r="FV56" s="46">
        <v>0</v>
      </c>
      <c r="FW56" s="46">
        <v>0</v>
      </c>
      <c r="FX56" s="46">
        <v>0</v>
      </c>
      <c r="FY56" s="63">
        <v>1</v>
      </c>
      <c r="FZ56" s="203">
        <v>0.04</v>
      </c>
      <c r="GA56" s="152">
        <v>0.06</v>
      </c>
      <c r="GB56" s="54">
        <v>0.06</v>
      </c>
      <c r="GC56" s="54">
        <v>0.02</v>
      </c>
      <c r="GD56" s="99"/>
      <c r="GE56" s="99"/>
      <c r="GF56" s="99"/>
      <c r="GG56" s="99"/>
      <c r="GH56" s="46">
        <v>0</v>
      </c>
      <c r="GI56" s="46">
        <v>0</v>
      </c>
      <c r="GJ56" s="5">
        <v>0</v>
      </c>
      <c r="GK56" s="5">
        <v>2197.4087022648523</v>
      </c>
      <c r="GL56" s="5">
        <v>0</v>
      </c>
      <c r="GM56" s="45">
        <v>2022.7308921524814</v>
      </c>
      <c r="GN56" s="46">
        <v>0</v>
      </c>
      <c r="GO56" s="46">
        <v>0</v>
      </c>
      <c r="GP56" s="46">
        <v>0</v>
      </c>
      <c r="GQ56" s="46">
        <v>0</v>
      </c>
      <c r="GR56" s="54"/>
      <c r="GS56" s="54"/>
      <c r="GT56" s="54"/>
      <c r="GU56" s="99"/>
      <c r="GV56" s="99"/>
      <c r="GW56" s="99"/>
      <c r="GX56" s="99"/>
      <c r="HI56" s="54"/>
      <c r="HJ56" s="54"/>
      <c r="HK56" s="54"/>
      <c r="HL56" s="99"/>
      <c r="HM56" s="99"/>
      <c r="HN56" s="99"/>
      <c r="HO56" s="99"/>
      <c r="HZ56" s="63"/>
      <c r="IA56" s="89"/>
      <c r="IB56" s="54"/>
      <c r="ID56" s="89"/>
      <c r="IE56" s="89"/>
      <c r="IH56" s="46">
        <v>0</v>
      </c>
      <c r="IP56" s="63"/>
      <c r="IQ56" s="89"/>
      <c r="IR56" s="89"/>
      <c r="IT56" s="89"/>
      <c r="IU56" s="89"/>
      <c r="IV56" s="5"/>
      <c r="IW56" s="5"/>
      <c r="IX56" s="46">
        <v>0</v>
      </c>
    </row>
    <row r="57" spans="1:260" s="46" customFormat="1">
      <c r="A57" s="86">
        <v>27</v>
      </c>
      <c r="B57" s="117">
        <v>0</v>
      </c>
      <c r="C57" s="117">
        <v>0</v>
      </c>
      <c r="D57" s="117">
        <v>0</v>
      </c>
      <c r="E57" s="117">
        <v>0</v>
      </c>
      <c r="F57" s="29">
        <v>1</v>
      </c>
      <c r="G57" s="29">
        <v>1</v>
      </c>
      <c r="H57" s="47">
        <v>52163</v>
      </c>
      <c r="I57" s="68">
        <v>1.90029270078021</v>
      </c>
      <c r="J57" s="68">
        <v>1.90029270078021</v>
      </c>
      <c r="K57" s="117">
        <v>38725.851227245759</v>
      </c>
      <c r="L57" s="46">
        <v>0</v>
      </c>
      <c r="M57" s="46">
        <v>0</v>
      </c>
      <c r="N57" s="46">
        <v>0</v>
      </c>
      <c r="O57" s="46">
        <v>0</v>
      </c>
      <c r="P57" s="46">
        <v>4604.5906488023957</v>
      </c>
      <c r="Q57" s="46">
        <v>0</v>
      </c>
      <c r="R57" s="46">
        <v>34121.260578443362</v>
      </c>
      <c r="S57" s="46">
        <v>0</v>
      </c>
      <c r="T57" s="54">
        <v>4.3368086899420177E-19</v>
      </c>
      <c r="U57" s="54">
        <v>0</v>
      </c>
      <c r="V57" s="54">
        <v>1.7500000000000002E-2</v>
      </c>
      <c r="W57" s="54">
        <v>3.2500000000000001E-2</v>
      </c>
      <c r="X57" s="46">
        <v>6500</v>
      </c>
      <c r="Y57" s="46">
        <v>6500</v>
      </c>
      <c r="Z57" s="46">
        <v>0</v>
      </c>
      <c r="AA57" s="46">
        <v>0</v>
      </c>
      <c r="AB57" s="46">
        <v>0</v>
      </c>
      <c r="AC57" s="46">
        <v>0</v>
      </c>
      <c r="AD57" s="46">
        <v>0</v>
      </c>
      <c r="AE57" s="46">
        <v>0</v>
      </c>
      <c r="AF57" s="46">
        <v>34121.260578443362</v>
      </c>
      <c r="AG57" s="46">
        <v>4086.8694697573337</v>
      </c>
      <c r="AH57" s="46">
        <v>34121.260578443362</v>
      </c>
      <c r="AI57" s="46">
        <v>373253.60972067941</v>
      </c>
      <c r="AJ57" s="300">
        <v>1203</v>
      </c>
      <c r="AK57" s="300">
        <v>1121.8984615384616</v>
      </c>
      <c r="AL57" s="300">
        <v>1203</v>
      </c>
      <c r="AM57" s="300">
        <v>98.2</v>
      </c>
      <c r="AN57" s="300">
        <v>11.156176093975333</v>
      </c>
      <c r="AO57" s="300">
        <v>1312.3561760939754</v>
      </c>
      <c r="AP57" s="300">
        <v>34121.260578443362</v>
      </c>
      <c r="AQ57" s="300">
        <v>1662.8605784433587</v>
      </c>
      <c r="AR57" s="304"/>
      <c r="AS57" s="130">
        <v>2.6243902439024396E-2</v>
      </c>
      <c r="AT57" s="46">
        <v>0</v>
      </c>
      <c r="AU57" s="45"/>
      <c r="AV57" s="304">
        <v>0</v>
      </c>
      <c r="AW57" s="162">
        <v>0</v>
      </c>
      <c r="AX57" s="162">
        <v>0</v>
      </c>
      <c r="AY57" s="162">
        <v>0</v>
      </c>
      <c r="AZ57" s="162">
        <v>0</v>
      </c>
      <c r="BA57" s="162">
        <v>0</v>
      </c>
      <c r="BB57" s="162">
        <v>0</v>
      </c>
      <c r="BC57" s="45">
        <v>0</v>
      </c>
      <c r="BD57" s="45">
        <v>0</v>
      </c>
      <c r="BE57" s="45">
        <v>0</v>
      </c>
      <c r="BF57" s="46">
        <v>0</v>
      </c>
      <c r="BG57" s="250">
        <v>132735.44514949765</v>
      </c>
      <c r="BH57" s="152">
        <v>2.5000000000000001E-2</v>
      </c>
      <c r="BI57" s="152">
        <v>2.5000000000000001E-2</v>
      </c>
      <c r="BJ57" s="46">
        <v>0</v>
      </c>
      <c r="BK57" s="46">
        <v>0</v>
      </c>
      <c r="BL57" s="46">
        <v>0</v>
      </c>
      <c r="BM57" s="46">
        <v>3887.5099834277075</v>
      </c>
      <c r="BN57" s="46">
        <v>0</v>
      </c>
      <c r="BO57" s="46">
        <v>0</v>
      </c>
      <c r="BQ57" s="46">
        <v>0</v>
      </c>
      <c r="BR57" s="46">
        <v>0</v>
      </c>
      <c r="BS57" s="46">
        <v>0</v>
      </c>
      <c r="BT57" s="46">
        <v>0</v>
      </c>
      <c r="BU57" s="46">
        <v>0</v>
      </c>
      <c r="BV57" s="46">
        <v>4604.5906488023957</v>
      </c>
      <c r="BW57" s="46">
        <v>0</v>
      </c>
      <c r="BY57" s="5">
        <f t="shared" si="1"/>
        <v>70000</v>
      </c>
      <c r="BZ57" s="5">
        <f t="shared" si="7"/>
        <v>34121.260578443362</v>
      </c>
      <c r="CA57" s="5">
        <f t="shared" si="3"/>
        <v>0</v>
      </c>
      <c r="CB57" s="5">
        <f t="shared" si="0"/>
        <v>0</v>
      </c>
      <c r="CC57" s="5">
        <f t="shared" si="4"/>
        <v>4604.5906488023957</v>
      </c>
      <c r="CD57" s="5"/>
      <c r="CE57" s="5">
        <f t="shared" si="5"/>
        <v>0</v>
      </c>
      <c r="CF57" s="5"/>
      <c r="CG57" s="5"/>
      <c r="CI57" s="46">
        <v>0</v>
      </c>
      <c r="CJ57" s="46">
        <v>0</v>
      </c>
      <c r="CK57" s="46">
        <v>0</v>
      </c>
      <c r="CL57" s="46">
        <v>0</v>
      </c>
      <c r="CM57" s="63">
        <v>1</v>
      </c>
      <c r="CN57" s="203">
        <v>0.04</v>
      </c>
      <c r="CO57" s="152">
        <v>0.06</v>
      </c>
      <c r="CP57" s="54">
        <v>0.06</v>
      </c>
      <c r="CQ57" s="54">
        <v>0.02</v>
      </c>
      <c r="CR57" s="99"/>
      <c r="CS57" s="99"/>
      <c r="CT57" s="99"/>
      <c r="CU57" s="99"/>
      <c r="CV57" s="46">
        <v>0</v>
      </c>
      <c r="CW57" s="46">
        <v>0</v>
      </c>
      <c r="CX57" s="146">
        <v>0</v>
      </c>
      <c r="CY57" s="5">
        <v>2858.4178240843607</v>
      </c>
      <c r="CZ57" s="5">
        <v>0</v>
      </c>
      <c r="DA57" s="46">
        <v>2631.1946564585114</v>
      </c>
      <c r="DB57" s="46">
        <v>0</v>
      </c>
      <c r="DC57" s="46">
        <v>0</v>
      </c>
      <c r="DD57" s="46">
        <v>0</v>
      </c>
      <c r="DE57" s="46">
        <v>0</v>
      </c>
      <c r="DF57" s="54"/>
      <c r="DG57" s="54"/>
      <c r="DH57" s="54"/>
      <c r="DI57" s="99"/>
      <c r="DJ57" s="99"/>
      <c r="DK57" s="99"/>
      <c r="DL57" s="99"/>
      <c r="DO57" s="5"/>
      <c r="DP57" s="5"/>
      <c r="DQ57" s="5"/>
      <c r="DW57" s="54"/>
      <c r="DX57" s="54"/>
      <c r="DY57" s="54"/>
      <c r="DZ57" s="99"/>
      <c r="EA57" s="99"/>
      <c r="EB57" s="99"/>
      <c r="EC57" s="99"/>
      <c r="ED57" s="425"/>
      <c r="EF57" s="5"/>
      <c r="EG57" s="5"/>
      <c r="EH57" s="5"/>
      <c r="EN57" s="63"/>
      <c r="EO57" s="89"/>
      <c r="EP57" s="89"/>
      <c r="ER57" s="220"/>
      <c r="ES57" s="89"/>
      <c r="EV57" s="46">
        <v>0</v>
      </c>
      <c r="FE57" s="53"/>
      <c r="FF57" s="89"/>
      <c r="FH57" s="54"/>
      <c r="FI57" s="54"/>
      <c r="FL57" s="46">
        <v>0</v>
      </c>
      <c r="FU57" s="45">
        <v>0</v>
      </c>
      <c r="FV57" s="46">
        <v>0</v>
      </c>
      <c r="FW57" s="46">
        <v>0</v>
      </c>
      <c r="FX57" s="46">
        <v>0</v>
      </c>
      <c r="FY57" s="63">
        <v>1</v>
      </c>
      <c r="FZ57" s="203">
        <v>0.04</v>
      </c>
      <c r="GA57" s="152">
        <v>0.06</v>
      </c>
      <c r="GB57" s="54">
        <v>0.06</v>
      </c>
      <c r="GC57" s="54">
        <v>0.02</v>
      </c>
      <c r="GD57" s="99"/>
      <c r="GE57" s="99"/>
      <c r="GF57" s="99"/>
      <c r="GG57" s="99"/>
      <c r="GH57" s="46">
        <v>0</v>
      </c>
      <c r="GI57" s="46">
        <v>0</v>
      </c>
      <c r="GJ57" s="5">
        <v>0</v>
      </c>
      <c r="GK57" s="5">
        <v>2143.8133680632704</v>
      </c>
      <c r="GL57" s="5">
        <v>0</v>
      </c>
      <c r="GM57" s="45">
        <v>1973.3959923438842</v>
      </c>
      <c r="GN57" s="46">
        <v>0</v>
      </c>
      <c r="GO57" s="46">
        <v>0</v>
      </c>
      <c r="GP57" s="46">
        <v>0</v>
      </c>
      <c r="GQ57" s="46">
        <v>0</v>
      </c>
      <c r="GR57" s="54"/>
      <c r="GS57" s="54"/>
      <c r="GT57" s="54"/>
      <c r="GU57" s="99"/>
      <c r="GV57" s="99"/>
      <c r="GW57" s="99"/>
      <c r="GX57" s="99"/>
      <c r="HI57" s="54"/>
      <c r="HJ57" s="54"/>
      <c r="HK57" s="54"/>
      <c r="HL57" s="99"/>
      <c r="HM57" s="99"/>
      <c r="HN57" s="99"/>
      <c r="HO57" s="99"/>
      <c r="HZ57" s="63"/>
      <c r="IA57" s="89"/>
      <c r="IB57" s="54"/>
      <c r="ID57" s="89"/>
      <c r="IE57" s="89"/>
      <c r="IH57" s="46">
        <v>0</v>
      </c>
      <c r="IP57" s="63"/>
      <c r="IQ57" s="89"/>
      <c r="IR57" s="89"/>
      <c r="IT57" s="89"/>
      <c r="IU57" s="89"/>
      <c r="IX57" s="46">
        <v>0</v>
      </c>
    </row>
    <row r="58" spans="1:260" s="46" customFormat="1">
      <c r="A58" s="86">
        <v>28</v>
      </c>
      <c r="B58" s="117">
        <v>0</v>
      </c>
      <c r="C58" s="117">
        <v>0</v>
      </c>
      <c r="D58" s="117">
        <v>0</v>
      </c>
      <c r="E58" s="117">
        <v>0</v>
      </c>
      <c r="F58" s="29">
        <v>1</v>
      </c>
      <c r="G58" s="29">
        <v>1</v>
      </c>
      <c r="H58" s="47">
        <v>52528</v>
      </c>
      <c r="I58" s="68">
        <v>1.9478000182997153</v>
      </c>
      <c r="J58" s="68">
        <v>1.9478000182997153</v>
      </c>
      <c r="K58" s="117">
        <v>38606.469489995856</v>
      </c>
      <c r="L58" s="46">
        <v>0</v>
      </c>
      <c r="M58" s="46">
        <v>0</v>
      </c>
      <c r="N58" s="46">
        <v>0</v>
      </c>
      <c r="O58" s="46">
        <v>0</v>
      </c>
      <c r="P58" s="46">
        <v>4492.2835598072152</v>
      </c>
      <c r="Q58" s="46">
        <v>0</v>
      </c>
      <c r="R58" s="46">
        <v>34114.185930188643</v>
      </c>
      <c r="S58" s="1189">
        <v>0</v>
      </c>
      <c r="T58" s="54">
        <v>4.3368086899420177E-19</v>
      </c>
      <c r="U58" s="54">
        <v>0</v>
      </c>
      <c r="V58" s="54">
        <v>1.7500000000000002E-2</v>
      </c>
      <c r="W58" s="54">
        <v>3.2500000000000001E-2</v>
      </c>
      <c r="X58" s="46">
        <v>6500</v>
      </c>
      <c r="Y58" s="46">
        <v>6500</v>
      </c>
      <c r="Z58" s="46">
        <v>0</v>
      </c>
      <c r="AA58" s="46">
        <v>0</v>
      </c>
      <c r="AB58" s="46">
        <v>0</v>
      </c>
      <c r="AC58" s="46">
        <v>0</v>
      </c>
      <c r="AD58" s="46">
        <v>0</v>
      </c>
      <c r="AE58" s="46">
        <v>0</v>
      </c>
      <c r="AF58" s="46">
        <v>34114.185930188643</v>
      </c>
      <c r="AG58" s="46">
        <v>3887.5099834277075</v>
      </c>
      <c r="AH58" s="46">
        <v>34114.185930188643</v>
      </c>
      <c r="AI58" s="46">
        <v>373253.60972067941</v>
      </c>
      <c r="AJ58" s="300">
        <v>1203</v>
      </c>
      <c r="AK58" s="300">
        <v>1121.8984615384616</v>
      </c>
      <c r="AL58" s="300">
        <v>1203</v>
      </c>
      <c r="AM58" s="300">
        <v>98.2</v>
      </c>
      <c r="AN58" s="300">
        <v>10.884074238024715</v>
      </c>
      <c r="AO58" s="300">
        <v>1312.0840742380246</v>
      </c>
      <c r="AP58" s="300">
        <v>34114.185930188643</v>
      </c>
      <c r="AQ58" s="300">
        <v>1655.7859301886426</v>
      </c>
      <c r="AR58" s="304"/>
      <c r="AS58" s="130">
        <v>2.6243902439024396E-2</v>
      </c>
      <c r="AT58" s="46">
        <v>0</v>
      </c>
      <c r="AU58" s="45"/>
      <c r="AV58" s="304">
        <v>0</v>
      </c>
      <c r="AW58" s="162">
        <v>0</v>
      </c>
      <c r="AX58" s="162">
        <v>0</v>
      </c>
      <c r="AY58" s="162">
        <v>0</v>
      </c>
      <c r="AZ58" s="162">
        <v>0</v>
      </c>
      <c r="BA58" s="162">
        <v>0</v>
      </c>
      <c r="BB58" s="162">
        <v>0</v>
      </c>
      <c r="BC58" s="45">
        <v>0</v>
      </c>
      <c r="BD58" s="45">
        <v>0</v>
      </c>
      <c r="BE58" s="45">
        <v>0</v>
      </c>
      <c r="BF58" s="46">
        <v>0</v>
      </c>
      <c r="BG58" s="250">
        <v>136053.8312782351</v>
      </c>
      <c r="BH58" s="152">
        <v>2.5000000000000001E-2</v>
      </c>
      <c r="BI58" s="54">
        <v>2.5000000000000001E-2</v>
      </c>
      <c r="BJ58" s="46">
        <v>0</v>
      </c>
      <c r="BK58" s="46">
        <v>0</v>
      </c>
      <c r="BL58" s="46">
        <v>0</v>
      </c>
      <c r="BM58" s="46">
        <v>3697.8753500897706</v>
      </c>
      <c r="BN58" s="46">
        <v>0</v>
      </c>
      <c r="BO58" s="46">
        <v>0</v>
      </c>
      <c r="BQ58" s="46">
        <v>0</v>
      </c>
      <c r="BR58" s="46">
        <v>0</v>
      </c>
      <c r="BS58" s="46">
        <v>0</v>
      </c>
      <c r="BT58" s="46">
        <v>0</v>
      </c>
      <c r="BU58" s="46">
        <v>0</v>
      </c>
      <c r="BV58" s="46">
        <v>4492.2835598072152</v>
      </c>
      <c r="BW58" s="46">
        <v>0</v>
      </c>
      <c r="BY58" s="5">
        <f t="shared" si="1"/>
        <v>70000</v>
      </c>
      <c r="BZ58" s="5">
        <f t="shared" si="7"/>
        <v>34114.185930188643</v>
      </c>
      <c r="CA58" s="5">
        <f t="shared" si="3"/>
        <v>0</v>
      </c>
      <c r="CB58" s="5">
        <f t="shared" si="0"/>
        <v>0</v>
      </c>
      <c r="CC58" s="5">
        <f t="shared" si="4"/>
        <v>4492.2835598072152</v>
      </c>
      <c r="CD58" s="5"/>
      <c r="CE58" s="5">
        <f t="shared" si="5"/>
        <v>0</v>
      </c>
      <c r="CF58" s="5"/>
      <c r="CG58" s="5"/>
      <c r="CI58" s="46">
        <v>0</v>
      </c>
      <c r="CJ58" s="46">
        <v>0</v>
      </c>
      <c r="CK58" s="46">
        <v>0</v>
      </c>
      <c r="CL58" s="46">
        <v>0</v>
      </c>
      <c r="CM58" s="63">
        <v>1</v>
      </c>
      <c r="CN58" s="203">
        <v>0.04</v>
      </c>
      <c r="CO58" s="152">
        <v>0.06</v>
      </c>
      <c r="CP58" s="54">
        <v>0.06</v>
      </c>
      <c r="CQ58" s="54">
        <v>0.02</v>
      </c>
      <c r="CR58" s="99"/>
      <c r="CS58" s="99"/>
      <c r="CT58" s="99"/>
      <c r="CU58" s="99"/>
      <c r="CV58" s="46">
        <v>0</v>
      </c>
      <c r="CW58" s="46">
        <v>0</v>
      </c>
      <c r="CX58" s="146">
        <v>0</v>
      </c>
      <c r="CY58" s="5">
        <v>2788.7003161798639</v>
      </c>
      <c r="CZ58" s="5">
        <v>0</v>
      </c>
      <c r="DA58" s="46">
        <v>2567.0191770326942</v>
      </c>
      <c r="DB58" s="46">
        <v>0</v>
      </c>
      <c r="DC58" s="46">
        <v>0</v>
      </c>
      <c r="DD58" s="46">
        <v>0</v>
      </c>
      <c r="DE58" s="46">
        <v>0</v>
      </c>
      <c r="DF58" s="54"/>
      <c r="DG58" s="54"/>
      <c r="DH58" s="54"/>
      <c r="DI58" s="99"/>
      <c r="DJ58" s="99"/>
      <c r="DK58" s="99"/>
      <c r="DL58" s="99"/>
      <c r="DO58" s="5"/>
      <c r="DP58" s="5"/>
      <c r="DQ58" s="5"/>
      <c r="DW58" s="54"/>
      <c r="DX58" s="54"/>
      <c r="DY58" s="54"/>
      <c r="DZ58" s="99"/>
      <c r="EA58" s="99"/>
      <c r="EB58" s="99"/>
      <c r="EC58" s="99"/>
      <c r="ED58" s="425"/>
      <c r="EF58" s="5"/>
      <c r="EG58" s="5"/>
      <c r="EH58" s="5"/>
      <c r="EN58" s="63"/>
      <c r="EO58" s="89"/>
      <c r="EP58" s="89"/>
      <c r="ER58" s="220"/>
      <c r="ES58" s="89"/>
      <c r="EV58" s="45">
        <v>0</v>
      </c>
      <c r="FE58" s="53"/>
      <c r="FF58" s="89"/>
      <c r="FH58" s="54"/>
      <c r="FI58" s="54"/>
      <c r="FL58" s="46">
        <v>0</v>
      </c>
      <c r="FU58" s="45">
        <v>0</v>
      </c>
      <c r="FV58" s="46">
        <v>0</v>
      </c>
      <c r="FW58" s="46">
        <v>0</v>
      </c>
      <c r="FX58" s="46">
        <v>0</v>
      </c>
      <c r="FY58" s="63">
        <v>1</v>
      </c>
      <c r="FZ58" s="203">
        <v>0.04</v>
      </c>
      <c r="GA58" s="152">
        <v>0.06</v>
      </c>
      <c r="GB58" s="54">
        <v>0.06</v>
      </c>
      <c r="GC58" s="54">
        <v>0.02</v>
      </c>
      <c r="GD58" s="99"/>
      <c r="GE58" s="99"/>
      <c r="GF58" s="99"/>
      <c r="GG58" s="99"/>
      <c r="GH58" s="46">
        <v>0</v>
      </c>
      <c r="GI58" s="46">
        <v>0</v>
      </c>
      <c r="GJ58" s="5">
        <v>0</v>
      </c>
      <c r="GK58" s="5">
        <v>2091.5252371348979</v>
      </c>
      <c r="GL58" s="5">
        <v>0</v>
      </c>
      <c r="GM58" s="45">
        <v>1925.2643827745212</v>
      </c>
      <c r="GN58" s="46">
        <v>0</v>
      </c>
      <c r="GO58" s="46">
        <v>0</v>
      </c>
      <c r="GP58" s="46">
        <v>0</v>
      </c>
      <c r="GQ58" s="46">
        <v>0</v>
      </c>
      <c r="GR58" s="54"/>
      <c r="GS58" s="54"/>
      <c r="GT58" s="54"/>
      <c r="GU58" s="99"/>
      <c r="GV58" s="99"/>
      <c r="GW58" s="99"/>
      <c r="GX58" s="99"/>
      <c r="HI58" s="54"/>
      <c r="HJ58" s="54"/>
      <c r="HK58" s="54"/>
      <c r="HL58" s="99"/>
      <c r="HM58" s="99"/>
      <c r="HN58" s="99"/>
      <c r="HO58" s="99"/>
      <c r="HZ58" s="63"/>
      <c r="IA58" s="89"/>
      <c r="IB58" s="54"/>
      <c r="ID58" s="89"/>
      <c r="IE58" s="89"/>
      <c r="IH58" s="46">
        <v>0</v>
      </c>
      <c r="IP58" s="63"/>
      <c r="IQ58" s="89"/>
      <c r="IR58" s="89"/>
      <c r="IT58" s="89"/>
      <c r="IU58" s="89"/>
      <c r="IX58" s="46">
        <v>0</v>
      </c>
    </row>
    <row r="59" spans="1:260" s="46" customFormat="1">
      <c r="A59" s="86">
        <v>29</v>
      </c>
      <c r="B59" s="117">
        <v>0</v>
      </c>
      <c r="C59" s="117">
        <v>0</v>
      </c>
      <c r="D59" s="117">
        <v>0</v>
      </c>
      <c r="E59" s="117">
        <v>0</v>
      </c>
      <c r="F59" s="29">
        <v>1</v>
      </c>
      <c r="G59" s="29">
        <v>1</v>
      </c>
      <c r="H59" s="47">
        <v>52894</v>
      </c>
      <c r="I59" s="68">
        <v>1.9964950187572081</v>
      </c>
      <c r="J59" s="68">
        <v>1.9964950187572081</v>
      </c>
      <c r="K59" s="117">
        <v>38489.999502434977</v>
      </c>
      <c r="L59" s="46">
        <v>0</v>
      </c>
      <c r="M59" s="46">
        <v>0</v>
      </c>
      <c r="N59" s="46">
        <v>0</v>
      </c>
      <c r="O59" s="46">
        <v>0</v>
      </c>
      <c r="P59" s="46">
        <v>4382.7156681045999</v>
      </c>
      <c r="Q59" s="46">
        <v>0</v>
      </c>
      <c r="R59" s="46">
        <v>34107.283834330381</v>
      </c>
      <c r="S59" s="1189">
        <v>0</v>
      </c>
      <c r="T59" s="54">
        <v>4.3368086899420177E-19</v>
      </c>
      <c r="U59" s="54">
        <v>0</v>
      </c>
      <c r="V59" s="54">
        <v>1.7500000000000002E-2</v>
      </c>
      <c r="W59" s="54">
        <v>3.2500000000000001E-2</v>
      </c>
      <c r="X59" s="46">
        <v>6500</v>
      </c>
      <c r="Y59" s="46">
        <v>6500</v>
      </c>
      <c r="Z59" s="46">
        <v>0</v>
      </c>
      <c r="AA59" s="46">
        <v>0</v>
      </c>
      <c r="AB59" s="46">
        <v>0</v>
      </c>
      <c r="AC59" s="46">
        <v>0</v>
      </c>
      <c r="AD59" s="46">
        <v>0</v>
      </c>
      <c r="AE59" s="46">
        <v>0</v>
      </c>
      <c r="AF59" s="46">
        <v>34107.283834330381</v>
      </c>
      <c r="AG59" s="46">
        <v>3697.8753500897706</v>
      </c>
      <c r="AH59" s="46">
        <v>34107.283834330381</v>
      </c>
      <c r="AI59" s="46">
        <v>373253.60972067941</v>
      </c>
      <c r="AJ59" s="300">
        <v>1203</v>
      </c>
      <c r="AK59" s="300">
        <v>1121.8984615384616</v>
      </c>
      <c r="AL59" s="300">
        <v>1203</v>
      </c>
      <c r="AM59" s="300">
        <v>98.2</v>
      </c>
      <c r="AN59" s="300">
        <v>10.618609012707038</v>
      </c>
      <c r="AO59" s="300">
        <v>1311.8186090127069</v>
      </c>
      <c r="AP59" s="300">
        <v>34107.283834330381</v>
      </c>
      <c r="AQ59" s="300">
        <v>1648.883834330383</v>
      </c>
      <c r="AR59" s="304"/>
      <c r="AS59" s="130">
        <v>2.6243902439024396E-2</v>
      </c>
      <c r="AT59" s="46">
        <v>0</v>
      </c>
      <c r="AU59" s="45"/>
      <c r="AV59" s="304">
        <v>0</v>
      </c>
      <c r="AW59" s="162">
        <v>0</v>
      </c>
      <c r="AX59" s="162">
        <v>0</v>
      </c>
      <c r="AY59" s="162">
        <v>0</v>
      </c>
      <c r="AZ59" s="162">
        <v>0</v>
      </c>
      <c r="BA59" s="162">
        <v>0</v>
      </c>
      <c r="BB59" s="162">
        <v>0</v>
      </c>
      <c r="BC59" s="45">
        <v>0</v>
      </c>
      <c r="BD59" s="45">
        <v>0</v>
      </c>
      <c r="BE59" s="45">
        <v>0</v>
      </c>
      <c r="BF59" s="46">
        <v>0</v>
      </c>
      <c r="BG59" s="250">
        <v>139455.177060191</v>
      </c>
      <c r="BH59" s="152">
        <v>2.5000000000000001E-2</v>
      </c>
      <c r="BI59" s="54">
        <v>2.5000000000000001E-2</v>
      </c>
      <c r="BJ59" s="46">
        <v>0</v>
      </c>
      <c r="BK59" s="46">
        <v>0</v>
      </c>
      <c r="BL59" s="46">
        <v>0</v>
      </c>
      <c r="BM59" s="46">
        <v>3517.4911866707575</v>
      </c>
      <c r="BN59" s="46">
        <v>0</v>
      </c>
      <c r="BO59" s="46">
        <v>0</v>
      </c>
      <c r="BQ59" s="46">
        <v>0</v>
      </c>
      <c r="BR59" s="46">
        <v>0</v>
      </c>
      <c r="BS59" s="46">
        <v>0</v>
      </c>
      <c r="BT59" s="46">
        <v>0</v>
      </c>
      <c r="BU59" s="46">
        <v>0</v>
      </c>
      <c r="BV59" s="46">
        <v>4382.7156681045999</v>
      </c>
      <c r="BW59" s="46">
        <v>0</v>
      </c>
      <c r="BY59" s="5">
        <f t="shared" si="1"/>
        <v>70000</v>
      </c>
      <c r="BZ59" s="5">
        <f t="shared" si="7"/>
        <v>34107.283834330381</v>
      </c>
      <c r="CA59" s="5">
        <f t="shared" si="3"/>
        <v>0</v>
      </c>
      <c r="CB59" s="5">
        <f t="shared" si="0"/>
        <v>0</v>
      </c>
      <c r="CC59" s="5">
        <f t="shared" si="4"/>
        <v>4382.7156681045999</v>
      </c>
      <c r="CD59" s="5"/>
      <c r="CE59" s="5">
        <f t="shared" si="5"/>
        <v>0</v>
      </c>
      <c r="CF59" s="5"/>
      <c r="CG59" s="5"/>
      <c r="CI59" s="46">
        <v>0</v>
      </c>
      <c r="CJ59" s="46">
        <v>0</v>
      </c>
      <c r="CK59" s="46">
        <v>0</v>
      </c>
      <c r="CL59" s="46">
        <v>0</v>
      </c>
      <c r="CM59" s="63">
        <v>1</v>
      </c>
      <c r="CN59" s="203">
        <v>0.04</v>
      </c>
      <c r="CO59" s="152">
        <v>0.06</v>
      </c>
      <c r="CP59" s="54">
        <v>0.06</v>
      </c>
      <c r="CQ59" s="54">
        <v>0.02</v>
      </c>
      <c r="CR59" s="99"/>
      <c r="CS59" s="99"/>
      <c r="CT59" s="99"/>
      <c r="CU59" s="99"/>
      <c r="CV59" s="45">
        <v>0</v>
      </c>
      <c r="CW59" s="45">
        <v>0</v>
      </c>
      <c r="CX59" s="146">
        <v>0</v>
      </c>
      <c r="CY59" s="5">
        <v>2720.6832352974284</v>
      </c>
      <c r="CZ59" s="5">
        <v>0</v>
      </c>
      <c r="DA59" s="46">
        <v>2504.4089532026283</v>
      </c>
      <c r="DB59" s="46">
        <v>0</v>
      </c>
      <c r="DC59" s="46">
        <v>0</v>
      </c>
      <c r="DD59" s="46">
        <v>0</v>
      </c>
      <c r="DE59" s="46">
        <v>0</v>
      </c>
      <c r="DF59" s="54"/>
      <c r="DG59" s="54"/>
      <c r="DH59" s="54"/>
      <c r="DI59" s="99"/>
      <c r="DJ59" s="99"/>
      <c r="DK59" s="99"/>
      <c r="DL59" s="99"/>
      <c r="DO59" s="5"/>
      <c r="DP59" s="5"/>
      <c r="DQ59" s="5"/>
      <c r="DW59" s="54"/>
      <c r="DX59" s="54"/>
      <c r="DY59" s="54"/>
      <c r="DZ59" s="99"/>
      <c r="EA59" s="99"/>
      <c r="EB59" s="99"/>
      <c r="EC59" s="99"/>
      <c r="ED59" s="425"/>
      <c r="EF59" s="5"/>
      <c r="EG59" s="5"/>
      <c r="EH59" s="5"/>
      <c r="EN59" s="63"/>
      <c r="EO59" s="89"/>
      <c r="EP59" s="89"/>
      <c r="ER59" s="220"/>
      <c r="ES59" s="89"/>
      <c r="EV59" s="45">
        <v>0</v>
      </c>
      <c r="FE59" s="53"/>
      <c r="FF59" s="89"/>
      <c r="FH59" s="54"/>
      <c r="FI59" s="54"/>
      <c r="FL59" s="46">
        <v>0</v>
      </c>
      <c r="FU59" s="45">
        <v>0</v>
      </c>
      <c r="FV59" s="46">
        <v>0</v>
      </c>
      <c r="FW59" s="46">
        <v>0</v>
      </c>
      <c r="FX59" s="46">
        <v>0</v>
      </c>
      <c r="FY59" s="63">
        <v>1</v>
      </c>
      <c r="FZ59" s="203">
        <v>0.04</v>
      </c>
      <c r="GA59" s="152">
        <v>0.06</v>
      </c>
      <c r="GB59" s="54">
        <v>0.06</v>
      </c>
      <c r="GC59" s="54">
        <v>0.02</v>
      </c>
      <c r="GD59" s="99"/>
      <c r="GE59" s="99"/>
      <c r="GF59" s="99"/>
      <c r="GG59" s="99"/>
      <c r="GH59" s="46">
        <v>0</v>
      </c>
      <c r="GI59" s="46">
        <v>0</v>
      </c>
      <c r="GJ59" s="5">
        <v>0</v>
      </c>
      <c r="GK59" s="5">
        <v>2040.5124264730714</v>
      </c>
      <c r="GL59" s="5">
        <v>0</v>
      </c>
      <c r="GM59" s="45">
        <v>1878.3067149019719</v>
      </c>
      <c r="GN59" s="46">
        <v>0</v>
      </c>
      <c r="GO59" s="46">
        <v>0</v>
      </c>
      <c r="GP59" s="46">
        <v>0</v>
      </c>
      <c r="GQ59" s="46">
        <v>0</v>
      </c>
      <c r="GR59" s="54"/>
      <c r="GS59" s="54"/>
      <c r="GT59" s="54"/>
      <c r="GU59" s="99"/>
      <c r="GV59" s="99"/>
      <c r="GW59" s="99"/>
      <c r="GX59" s="99"/>
      <c r="HI59" s="54"/>
      <c r="HJ59" s="54"/>
      <c r="HK59" s="54"/>
      <c r="HL59" s="99"/>
      <c r="HM59" s="99"/>
      <c r="HN59" s="99"/>
      <c r="HO59" s="99"/>
      <c r="HZ59" s="63"/>
      <c r="IA59" s="89"/>
      <c r="IB59" s="54"/>
      <c r="ID59" s="89"/>
      <c r="IE59" s="89"/>
      <c r="IH59" s="46">
        <v>0</v>
      </c>
      <c r="IP59" s="63"/>
      <c r="IQ59" s="89"/>
      <c r="IR59" s="89"/>
      <c r="IT59" s="89"/>
      <c r="IU59" s="89"/>
      <c r="IX59" s="46">
        <v>0</v>
      </c>
    </row>
    <row r="60" spans="1:260" s="46" customFormat="1">
      <c r="A60" s="86">
        <v>30</v>
      </c>
      <c r="B60" s="117">
        <v>0</v>
      </c>
      <c r="C60" s="117">
        <v>0</v>
      </c>
      <c r="D60" s="117">
        <v>0</v>
      </c>
      <c r="E60" s="117">
        <v>0</v>
      </c>
      <c r="F60" s="29">
        <v>1</v>
      </c>
      <c r="G60" s="29">
        <v>1</v>
      </c>
      <c r="H60" s="47">
        <v>53259</v>
      </c>
      <c r="I60" s="68">
        <v>2.0464073942261383</v>
      </c>
      <c r="J60" s="68">
        <v>2.0464073942261383</v>
      </c>
      <c r="K60" s="117">
        <v>38376.370246278027</v>
      </c>
      <c r="L60" s="46">
        <v>0</v>
      </c>
      <c r="M60" s="46">
        <v>0</v>
      </c>
      <c r="N60" s="46">
        <v>0</v>
      </c>
      <c r="O60" s="46">
        <v>0</v>
      </c>
      <c r="P60" s="46">
        <v>4275.8201640044881</v>
      </c>
      <c r="Q60" s="46">
        <v>0</v>
      </c>
      <c r="R60" s="46">
        <v>34100.550082273541</v>
      </c>
      <c r="S60" s="1189">
        <v>0</v>
      </c>
      <c r="T60" s="54">
        <v>4.3368086899420177E-19</v>
      </c>
      <c r="U60" s="54">
        <v>0</v>
      </c>
      <c r="V60" s="54">
        <v>1.7500000000000002E-2</v>
      </c>
      <c r="W60" s="54">
        <v>3.2500000000000001E-2</v>
      </c>
      <c r="X60" s="46">
        <v>6500</v>
      </c>
      <c r="Y60" s="46">
        <v>6500</v>
      </c>
      <c r="Z60" s="46">
        <v>0</v>
      </c>
      <c r="AA60" s="46">
        <v>0</v>
      </c>
      <c r="AB60" s="46">
        <v>0</v>
      </c>
      <c r="AC60" s="46">
        <v>0</v>
      </c>
      <c r="AD60" s="46">
        <v>0</v>
      </c>
      <c r="AE60" s="46">
        <v>0</v>
      </c>
      <c r="AF60" s="46">
        <v>34100.550082273541</v>
      </c>
      <c r="AG60" s="46">
        <v>3517.4911866707575</v>
      </c>
      <c r="AH60" s="46">
        <v>34100.550082273541</v>
      </c>
      <c r="AI60" s="46">
        <v>373253.60972067941</v>
      </c>
      <c r="AJ60" s="300">
        <v>1203</v>
      </c>
      <c r="AK60" s="300">
        <v>1121.8984615384616</v>
      </c>
      <c r="AL60" s="300">
        <v>1203</v>
      </c>
      <c r="AM60" s="300">
        <v>98.2</v>
      </c>
      <c r="AN60" s="300">
        <v>10.359618548982478</v>
      </c>
      <c r="AO60" s="300">
        <v>1311.5596185489824</v>
      </c>
      <c r="AP60" s="300">
        <v>34100.550082273541</v>
      </c>
      <c r="AQ60" s="300">
        <v>1642.1500822735443</v>
      </c>
      <c r="AR60" s="304"/>
      <c r="AS60" s="130">
        <v>2.6243902439024396E-2</v>
      </c>
      <c r="AT60" s="46">
        <v>0</v>
      </c>
      <c r="AU60" s="45"/>
      <c r="AV60" s="304">
        <v>0</v>
      </c>
      <c r="AW60" s="162">
        <v>0</v>
      </c>
      <c r="AX60" s="162">
        <v>0</v>
      </c>
      <c r="AY60" s="162">
        <v>0</v>
      </c>
      <c r="AZ60" s="162">
        <v>0</v>
      </c>
      <c r="BA60" s="162">
        <v>0</v>
      </c>
      <c r="BB60" s="162">
        <v>0</v>
      </c>
      <c r="BC60" s="45">
        <v>0</v>
      </c>
      <c r="BD60" s="45">
        <v>0</v>
      </c>
      <c r="BE60" s="45">
        <v>0</v>
      </c>
      <c r="BF60" s="46">
        <v>0</v>
      </c>
      <c r="BG60" s="250">
        <v>142941.55648669577</v>
      </c>
      <c r="BH60" s="152">
        <v>2.5000000000000001E-2</v>
      </c>
      <c r="BI60" s="54">
        <v>2.5000000000000001E-2</v>
      </c>
      <c r="BJ60" s="46">
        <v>0</v>
      </c>
      <c r="BK60" s="46">
        <v>0</v>
      </c>
      <c r="BL60" s="46">
        <v>0</v>
      </c>
      <c r="BM60" s="46">
        <v>3345.9062507355989</v>
      </c>
      <c r="BN60" s="46">
        <v>0</v>
      </c>
      <c r="BO60" s="46">
        <v>0</v>
      </c>
      <c r="BQ60" s="46">
        <v>0</v>
      </c>
      <c r="BR60" s="46">
        <v>0</v>
      </c>
      <c r="BS60" s="46">
        <v>0</v>
      </c>
      <c r="BT60" s="46">
        <v>0</v>
      </c>
      <c r="BU60" s="46">
        <v>0</v>
      </c>
      <c r="BV60" s="46">
        <v>4275.8201640044881</v>
      </c>
      <c r="BW60" s="46">
        <v>0</v>
      </c>
      <c r="BY60" s="5">
        <f t="shared" si="1"/>
        <v>70000</v>
      </c>
      <c r="BZ60" s="5">
        <f t="shared" si="7"/>
        <v>34100.550082273541</v>
      </c>
      <c r="CA60" s="5">
        <f t="shared" si="3"/>
        <v>0</v>
      </c>
      <c r="CB60" s="5">
        <f t="shared" si="0"/>
        <v>0</v>
      </c>
      <c r="CC60" s="5">
        <f t="shared" si="4"/>
        <v>4275.8201640044881</v>
      </c>
      <c r="CD60" s="5"/>
      <c r="CE60" s="5">
        <f t="shared" si="5"/>
        <v>0</v>
      </c>
      <c r="CF60" s="5"/>
      <c r="CG60" s="5"/>
      <c r="CI60" s="46">
        <v>0</v>
      </c>
      <c r="CJ60" s="46">
        <v>0</v>
      </c>
      <c r="CK60" s="46">
        <v>0</v>
      </c>
      <c r="CL60" s="46">
        <v>0</v>
      </c>
      <c r="CM60" s="63">
        <v>1</v>
      </c>
      <c r="CN60" s="203">
        <v>0.04</v>
      </c>
      <c r="CO60" s="152">
        <v>0.06</v>
      </c>
      <c r="CP60" s="54">
        <v>0.06</v>
      </c>
      <c r="CQ60" s="54">
        <v>0.02</v>
      </c>
      <c r="CR60" s="99"/>
      <c r="CS60" s="99"/>
      <c r="CT60" s="99"/>
      <c r="CU60" s="99"/>
      <c r="CV60" s="45">
        <v>0</v>
      </c>
      <c r="CW60" s="45">
        <v>0</v>
      </c>
      <c r="CX60" s="146">
        <v>0</v>
      </c>
      <c r="CY60" s="5">
        <v>2654.3251076072474</v>
      </c>
      <c r="CZ60" s="5">
        <v>0</v>
      </c>
      <c r="DA60" s="46">
        <v>2443.3258080025644</v>
      </c>
      <c r="DB60" s="46">
        <v>0</v>
      </c>
      <c r="DC60" s="46">
        <v>0</v>
      </c>
      <c r="DD60" s="46">
        <v>0</v>
      </c>
      <c r="DE60" s="46">
        <v>0</v>
      </c>
      <c r="DF60" s="54"/>
      <c r="DG60" s="54"/>
      <c r="DH60" s="54"/>
      <c r="DI60" s="99"/>
      <c r="DJ60" s="99"/>
      <c r="DK60" s="99"/>
      <c r="DL60" s="99"/>
      <c r="DO60" s="5"/>
      <c r="DP60" s="5"/>
      <c r="DQ60" s="5"/>
      <c r="DW60" s="54"/>
      <c r="DX60" s="54"/>
      <c r="DY60" s="54"/>
      <c r="DZ60" s="99"/>
      <c r="EA60" s="99"/>
      <c r="EB60" s="99"/>
      <c r="EC60" s="99"/>
      <c r="ED60" s="425"/>
      <c r="EF60" s="5"/>
      <c r="EG60" s="5"/>
      <c r="EH60" s="5"/>
      <c r="EN60" s="63"/>
      <c r="EO60" s="89"/>
      <c r="EP60" s="89"/>
      <c r="ER60" s="220"/>
      <c r="ES60" s="89"/>
      <c r="EV60" s="45">
        <v>0</v>
      </c>
      <c r="FE60" s="53"/>
      <c r="FF60" s="89"/>
      <c r="FH60" s="54"/>
      <c r="FI60" s="54"/>
      <c r="FL60" s="46">
        <v>0</v>
      </c>
      <c r="FU60" s="45">
        <v>0</v>
      </c>
      <c r="FV60" s="46">
        <v>0</v>
      </c>
      <c r="FW60" s="46">
        <v>0</v>
      </c>
      <c r="FX60" s="46">
        <v>0</v>
      </c>
      <c r="FY60" s="63">
        <v>1</v>
      </c>
      <c r="FZ60" s="203">
        <v>0.04</v>
      </c>
      <c r="GA60" s="152">
        <v>0.06</v>
      </c>
      <c r="GB60" s="54">
        <v>0.06</v>
      </c>
      <c r="GC60" s="54">
        <v>0.02</v>
      </c>
      <c r="GD60" s="99"/>
      <c r="GE60" s="99"/>
      <c r="GF60" s="99"/>
      <c r="GG60" s="99"/>
      <c r="GH60" s="46">
        <v>0</v>
      </c>
      <c r="GI60" s="46">
        <v>0</v>
      </c>
      <c r="GJ60" s="5">
        <v>0</v>
      </c>
      <c r="GK60" s="5">
        <v>1990.7438307054356</v>
      </c>
      <c r="GL60" s="5">
        <v>0</v>
      </c>
      <c r="GM60" s="45">
        <v>1832.4943560019237</v>
      </c>
      <c r="GN60" s="46">
        <v>0</v>
      </c>
      <c r="GO60" s="46">
        <v>0</v>
      </c>
      <c r="GP60" s="46">
        <v>0</v>
      </c>
      <c r="GQ60" s="46">
        <v>0</v>
      </c>
      <c r="GR60" s="54"/>
      <c r="GS60" s="54"/>
      <c r="GT60" s="54"/>
      <c r="GU60" s="99"/>
      <c r="GV60" s="99"/>
      <c r="GW60" s="99"/>
      <c r="GX60" s="99"/>
      <c r="HI60" s="54"/>
      <c r="HJ60" s="54"/>
      <c r="HK60" s="54"/>
      <c r="HL60" s="99"/>
      <c r="HM60" s="99"/>
      <c r="HN60" s="99"/>
      <c r="HO60" s="99"/>
      <c r="HZ60" s="63"/>
      <c r="IA60" s="89"/>
      <c r="IB60" s="54"/>
      <c r="ID60" s="89"/>
      <c r="IE60" s="89"/>
      <c r="IH60" s="46">
        <v>0</v>
      </c>
      <c r="IP60" s="63"/>
      <c r="IQ60" s="89"/>
      <c r="IR60" s="89"/>
      <c r="IT60" s="89"/>
      <c r="IU60" s="89"/>
      <c r="IX60" s="46">
        <v>0</v>
      </c>
    </row>
    <row r="61" spans="1:260" s="46" customFormat="1">
      <c r="A61" s="86">
        <v>31</v>
      </c>
      <c r="B61" s="117">
        <v>0</v>
      </c>
      <c r="C61" s="117">
        <v>0</v>
      </c>
      <c r="D61" s="117">
        <v>0</v>
      </c>
      <c r="E61" s="117">
        <v>0</v>
      </c>
      <c r="F61" s="29">
        <v>1</v>
      </c>
      <c r="G61" s="29">
        <v>1</v>
      </c>
      <c r="H61" s="47">
        <v>53624</v>
      </c>
      <c r="I61" s="68">
        <v>2.0975675790817916</v>
      </c>
      <c r="J61" s="68">
        <v>2.0975675790817916</v>
      </c>
      <c r="K61" s="117">
        <v>38265.512435393197</v>
      </c>
      <c r="L61" s="46">
        <v>0</v>
      </c>
      <c r="M61" s="46">
        <v>0</v>
      </c>
      <c r="N61" s="46">
        <v>0</v>
      </c>
      <c r="O61" s="46">
        <v>0</v>
      </c>
      <c r="P61" s="46">
        <v>4171.5318673214515</v>
      </c>
      <c r="Q61" s="46">
        <v>0</v>
      </c>
      <c r="R61" s="46">
        <v>34093.980568071747</v>
      </c>
      <c r="S61" s="1189">
        <v>0</v>
      </c>
      <c r="T61" s="54">
        <v>4.3368086899420177E-19</v>
      </c>
      <c r="U61" s="54">
        <v>0</v>
      </c>
      <c r="V61" s="54">
        <v>1.7500000000000002E-2</v>
      </c>
      <c r="W61" s="54">
        <v>3.2500000000000001E-2</v>
      </c>
      <c r="X61" s="46">
        <v>6500</v>
      </c>
      <c r="Y61" s="46">
        <v>6500</v>
      </c>
      <c r="Z61" s="46">
        <v>0</v>
      </c>
      <c r="AA61" s="46">
        <v>0</v>
      </c>
      <c r="AB61" s="46">
        <v>0</v>
      </c>
      <c r="AC61" s="46">
        <v>0</v>
      </c>
      <c r="AD61" s="46">
        <v>0</v>
      </c>
      <c r="AE61" s="46">
        <v>0</v>
      </c>
      <c r="AF61" s="46">
        <v>34093.980568071747</v>
      </c>
      <c r="AG61" s="46">
        <v>3345.9062507355989</v>
      </c>
      <c r="AH61" s="46">
        <v>34093.980568071747</v>
      </c>
      <c r="AI61" s="46">
        <v>373253.60972067941</v>
      </c>
      <c r="AJ61" s="300">
        <v>1203</v>
      </c>
      <c r="AK61" s="300">
        <v>1121.8984615384616</v>
      </c>
      <c r="AL61" s="300">
        <v>1203</v>
      </c>
      <c r="AM61" s="300">
        <v>98.2</v>
      </c>
      <c r="AN61" s="300">
        <v>10.106944925836563</v>
      </c>
      <c r="AO61" s="300">
        <v>1311.3069449258364</v>
      </c>
      <c r="AP61" s="300">
        <v>34093.980568071747</v>
      </c>
      <c r="AQ61" s="300">
        <v>1635.5805680717506</v>
      </c>
      <c r="AR61" s="304"/>
      <c r="AS61" s="130">
        <v>2.6243902439024396E-2</v>
      </c>
      <c r="AT61" s="46">
        <v>0</v>
      </c>
      <c r="AU61" s="45"/>
      <c r="AV61" s="304">
        <v>0</v>
      </c>
      <c r="AW61" s="162">
        <v>0</v>
      </c>
      <c r="AX61" s="162">
        <v>0</v>
      </c>
      <c r="AY61" s="162">
        <v>0</v>
      </c>
      <c r="AZ61" s="162">
        <v>0</v>
      </c>
      <c r="BA61" s="162">
        <v>0</v>
      </c>
      <c r="BB61" s="162">
        <v>0</v>
      </c>
      <c r="BC61" s="45">
        <v>0</v>
      </c>
      <c r="BD61" s="45">
        <v>0</v>
      </c>
      <c r="BE61" s="45">
        <v>0</v>
      </c>
      <c r="BF61" s="45">
        <v>0</v>
      </c>
      <c r="BG61" s="250">
        <v>146515.09539886314</v>
      </c>
      <c r="BH61" s="152">
        <v>2.5000000000000001E-2</v>
      </c>
      <c r="BI61" s="54">
        <v>2.5000000000000001E-2</v>
      </c>
      <c r="BJ61" s="46">
        <v>0</v>
      </c>
      <c r="BK61" s="46">
        <v>0</v>
      </c>
      <c r="BL61" s="46">
        <v>0</v>
      </c>
      <c r="BM61" s="46">
        <v>3182.6913116753258</v>
      </c>
      <c r="BN61" s="46">
        <v>0</v>
      </c>
      <c r="BO61" s="46">
        <v>0</v>
      </c>
      <c r="BQ61" s="46">
        <v>0</v>
      </c>
      <c r="BR61" s="46">
        <v>0</v>
      </c>
      <c r="BS61" s="46">
        <v>0</v>
      </c>
      <c r="BT61" s="46">
        <v>0</v>
      </c>
      <c r="BU61" s="46">
        <v>0</v>
      </c>
      <c r="BV61" s="46">
        <v>4171.5318673214515</v>
      </c>
      <c r="BW61" s="46">
        <v>0</v>
      </c>
      <c r="BY61" s="5">
        <f t="shared" si="1"/>
        <v>70000</v>
      </c>
      <c r="BZ61" s="5">
        <f t="shared" si="7"/>
        <v>34093.980568071747</v>
      </c>
      <c r="CA61" s="5">
        <f t="shared" si="3"/>
        <v>0</v>
      </c>
      <c r="CB61" s="5">
        <f t="shared" si="0"/>
        <v>0</v>
      </c>
      <c r="CC61" s="5">
        <f t="shared" si="4"/>
        <v>4171.5318673214515</v>
      </c>
      <c r="CD61" s="5"/>
      <c r="CE61" s="5">
        <f t="shared" si="5"/>
        <v>0</v>
      </c>
      <c r="CF61" s="5"/>
      <c r="CG61" s="5"/>
      <c r="CI61" s="46">
        <v>0</v>
      </c>
      <c r="CJ61" s="46">
        <v>0</v>
      </c>
      <c r="CK61" s="46">
        <v>0</v>
      </c>
      <c r="CL61" s="46">
        <v>0</v>
      </c>
      <c r="CM61" s="63">
        <v>1</v>
      </c>
      <c r="CN61" s="203">
        <v>0.04</v>
      </c>
      <c r="CO61" s="152">
        <v>0.06</v>
      </c>
      <c r="CP61" s="54">
        <v>0.06</v>
      </c>
      <c r="CQ61" s="54">
        <v>0.02</v>
      </c>
      <c r="CR61" s="99"/>
      <c r="CS61" s="99"/>
      <c r="CT61" s="99"/>
      <c r="CU61" s="99"/>
      <c r="CV61" s="45">
        <v>0</v>
      </c>
      <c r="CW61" s="45">
        <v>0</v>
      </c>
      <c r="CX61" s="146">
        <v>0</v>
      </c>
      <c r="CY61" s="5">
        <v>2589.585470836339</v>
      </c>
      <c r="CZ61" s="5">
        <v>0</v>
      </c>
      <c r="DA61" s="46">
        <v>2383.7324956122579</v>
      </c>
      <c r="DB61" s="46">
        <v>0</v>
      </c>
      <c r="DC61" s="46">
        <v>0</v>
      </c>
      <c r="DD61" s="46">
        <v>0</v>
      </c>
      <c r="DE61" s="46">
        <v>0</v>
      </c>
      <c r="DF61" s="54"/>
      <c r="DG61" s="54"/>
      <c r="DH61" s="54"/>
      <c r="DI61" s="99"/>
      <c r="DJ61" s="99"/>
      <c r="DK61" s="99"/>
      <c r="DL61" s="99"/>
      <c r="DO61" s="5"/>
      <c r="DP61" s="5"/>
      <c r="DQ61" s="5"/>
      <c r="DW61" s="54"/>
      <c r="DX61" s="54"/>
      <c r="DY61" s="54"/>
      <c r="DZ61" s="99"/>
      <c r="EA61" s="99"/>
      <c r="EB61" s="99"/>
      <c r="EC61" s="99"/>
      <c r="ED61" s="425"/>
      <c r="EF61" s="5"/>
      <c r="EG61" s="5"/>
      <c r="EH61" s="5"/>
      <c r="EN61" s="63"/>
      <c r="EO61" s="89"/>
      <c r="EP61" s="89"/>
      <c r="ER61" s="220"/>
      <c r="ES61" s="89"/>
      <c r="EV61" s="45">
        <v>0</v>
      </c>
      <c r="FE61" s="53"/>
      <c r="FF61" s="89"/>
      <c r="FH61" s="54"/>
      <c r="FI61" s="54"/>
      <c r="FL61" s="46">
        <v>0</v>
      </c>
      <c r="FU61" s="45">
        <v>0</v>
      </c>
      <c r="FV61" s="46">
        <v>0</v>
      </c>
      <c r="FW61" s="46">
        <v>0</v>
      </c>
      <c r="FX61" s="46">
        <v>0</v>
      </c>
      <c r="FY61" s="63">
        <v>1</v>
      </c>
      <c r="FZ61" s="203">
        <v>0.04</v>
      </c>
      <c r="GA61" s="152">
        <v>0.06</v>
      </c>
      <c r="GB61" s="54">
        <v>0.06</v>
      </c>
      <c r="GC61" s="54">
        <v>0.02</v>
      </c>
      <c r="GD61" s="99"/>
      <c r="GE61" s="99"/>
      <c r="GF61" s="99"/>
      <c r="GG61" s="99"/>
      <c r="GH61" s="46">
        <v>0</v>
      </c>
      <c r="GI61" s="46">
        <v>0</v>
      </c>
      <c r="GJ61" s="5">
        <v>0</v>
      </c>
      <c r="GK61" s="5">
        <v>1942.1891031272542</v>
      </c>
      <c r="GL61" s="5">
        <v>0</v>
      </c>
      <c r="GM61" s="45">
        <v>1787.7993717091938</v>
      </c>
      <c r="GN61" s="46">
        <v>0</v>
      </c>
      <c r="GO61" s="46">
        <v>0</v>
      </c>
      <c r="GP61" s="46">
        <v>0</v>
      </c>
      <c r="GQ61" s="46">
        <v>0</v>
      </c>
      <c r="GR61" s="54"/>
      <c r="GS61" s="54"/>
      <c r="GT61" s="54"/>
      <c r="GU61" s="99"/>
      <c r="GV61" s="99"/>
      <c r="GW61" s="99"/>
      <c r="GX61" s="99"/>
      <c r="HI61" s="54"/>
      <c r="HJ61" s="54"/>
      <c r="HK61" s="54"/>
      <c r="HL61" s="99"/>
      <c r="HM61" s="99"/>
      <c r="HN61" s="99"/>
      <c r="HO61" s="99"/>
      <c r="HZ61" s="63"/>
      <c r="IA61" s="89"/>
      <c r="IB61" s="54"/>
      <c r="ID61" s="89"/>
      <c r="IE61" s="89"/>
      <c r="IH61" s="46">
        <v>0</v>
      </c>
      <c r="IP61" s="63"/>
      <c r="IQ61" s="89"/>
      <c r="IR61" s="89"/>
      <c r="IT61" s="89"/>
      <c r="IU61" s="89"/>
      <c r="IX61" s="46">
        <v>0</v>
      </c>
    </row>
    <row r="62" spans="1:260" s="46" customFormat="1">
      <c r="A62" s="86">
        <v>32</v>
      </c>
      <c r="B62" s="117">
        <v>0</v>
      </c>
      <c r="C62" s="117">
        <v>0</v>
      </c>
      <c r="D62" s="117">
        <v>0</v>
      </c>
      <c r="E62" s="117">
        <v>0</v>
      </c>
      <c r="F62" s="29">
        <v>1</v>
      </c>
      <c r="G62" s="29">
        <v>1</v>
      </c>
      <c r="H62" s="47">
        <v>53989</v>
      </c>
      <c r="I62" s="68">
        <v>2.1500067685588364</v>
      </c>
      <c r="J62" s="68">
        <v>2.1500067685588364</v>
      </c>
      <c r="K62" s="99">
        <v>38157.358473554341</v>
      </c>
      <c r="L62" s="46">
        <v>0</v>
      </c>
      <c r="M62" s="46">
        <v>0</v>
      </c>
      <c r="N62" s="46">
        <v>0</v>
      </c>
      <c r="O62" s="46">
        <v>0</v>
      </c>
      <c r="P62" s="46">
        <v>4069.7871876306845</v>
      </c>
      <c r="Q62" s="46">
        <v>0</v>
      </c>
      <c r="R62" s="46">
        <v>34087.571285923659</v>
      </c>
      <c r="S62" s="1189">
        <v>0</v>
      </c>
      <c r="T62" s="54">
        <v>4.3368086899420177E-19</v>
      </c>
      <c r="U62" s="54">
        <v>0</v>
      </c>
      <c r="V62" s="54">
        <v>1.7500000000000002E-2</v>
      </c>
      <c r="W62" s="54">
        <v>3.2500000000000001E-2</v>
      </c>
      <c r="X62" s="46">
        <v>6500</v>
      </c>
      <c r="Y62" s="46">
        <v>6500</v>
      </c>
      <c r="Z62" s="46">
        <v>0</v>
      </c>
      <c r="AA62" s="46">
        <v>0</v>
      </c>
      <c r="AB62" s="46">
        <v>0</v>
      </c>
      <c r="AC62" s="46">
        <v>0</v>
      </c>
      <c r="AD62" s="46">
        <v>0</v>
      </c>
      <c r="AE62" s="46">
        <v>0</v>
      </c>
      <c r="AF62" s="46">
        <v>34087.571285923659</v>
      </c>
      <c r="AG62" s="46">
        <v>3182.6913116753258</v>
      </c>
      <c r="AH62" s="46">
        <v>34087.571285923659</v>
      </c>
      <c r="AI62" s="46">
        <v>373253.60972067941</v>
      </c>
      <c r="AJ62" s="300">
        <v>1203</v>
      </c>
      <c r="AK62" s="300">
        <v>1121.8984615384616</v>
      </c>
      <c r="AL62" s="300">
        <v>1203</v>
      </c>
      <c r="AM62" s="300">
        <v>98.2</v>
      </c>
      <c r="AN62" s="300">
        <v>9.860434073986891</v>
      </c>
      <c r="AO62" s="300">
        <v>1311.0604340739869</v>
      </c>
      <c r="AP62" s="300">
        <v>34087.571285923659</v>
      </c>
      <c r="AQ62" s="300">
        <v>1629.1712859236591</v>
      </c>
      <c r="AR62" s="304"/>
      <c r="AS62" s="130">
        <v>2.6243902439024396E-2</v>
      </c>
      <c r="AT62" s="46">
        <v>0</v>
      </c>
      <c r="AU62" s="45"/>
      <c r="AV62" s="304">
        <v>0</v>
      </c>
      <c r="AW62" s="162">
        <v>0</v>
      </c>
      <c r="AX62" s="162">
        <v>0</v>
      </c>
      <c r="AY62" s="162">
        <v>0</v>
      </c>
      <c r="AZ62" s="162">
        <v>0</v>
      </c>
      <c r="BA62" s="162">
        <v>0</v>
      </c>
      <c r="BB62" s="162">
        <v>0</v>
      </c>
      <c r="BC62" s="45">
        <v>0</v>
      </c>
      <c r="BD62" s="45">
        <v>0</v>
      </c>
      <c r="BE62" s="45">
        <v>0</v>
      </c>
      <c r="BF62" s="45">
        <v>0</v>
      </c>
      <c r="BG62" s="250">
        <v>150177.97278383473</v>
      </c>
      <c r="BH62" s="152">
        <v>2.5000000000000001E-2</v>
      </c>
      <c r="BI62" s="54">
        <v>2.5000000000000001E-2</v>
      </c>
      <c r="BJ62" s="45">
        <v>0</v>
      </c>
      <c r="BK62" s="46">
        <v>0</v>
      </c>
      <c r="BL62" s="46">
        <v>0</v>
      </c>
      <c r="BM62" s="46">
        <v>3027.4380769594563</v>
      </c>
      <c r="BN62" s="46">
        <v>0</v>
      </c>
      <c r="BO62" s="46">
        <v>0</v>
      </c>
      <c r="BQ62" s="46">
        <v>0</v>
      </c>
      <c r="BR62" s="46">
        <v>0</v>
      </c>
      <c r="BS62" s="46">
        <v>0</v>
      </c>
      <c r="BT62" s="46">
        <v>0</v>
      </c>
      <c r="BU62" s="46">
        <v>0</v>
      </c>
      <c r="BV62" s="46">
        <v>4069.7871876306845</v>
      </c>
      <c r="BW62" s="46">
        <v>0</v>
      </c>
      <c r="BY62" s="5">
        <f t="shared" si="1"/>
        <v>70000</v>
      </c>
      <c r="BZ62" s="5">
        <f t="shared" si="7"/>
        <v>34087.571285923659</v>
      </c>
      <c r="CA62" s="5">
        <f t="shared" si="3"/>
        <v>0</v>
      </c>
      <c r="CB62" s="5">
        <f t="shared" si="0"/>
        <v>0</v>
      </c>
      <c r="CC62" s="5">
        <f t="shared" si="4"/>
        <v>4069.7871876306845</v>
      </c>
      <c r="CD62" s="5"/>
      <c r="CE62" s="5">
        <f t="shared" si="5"/>
        <v>0</v>
      </c>
      <c r="CF62" s="5"/>
      <c r="CG62" s="5"/>
      <c r="CI62" s="46">
        <v>0</v>
      </c>
      <c r="CJ62" s="46">
        <v>0</v>
      </c>
      <c r="CK62" s="46">
        <v>0</v>
      </c>
      <c r="CL62" s="46">
        <v>0</v>
      </c>
      <c r="CM62" s="63">
        <v>1</v>
      </c>
      <c r="CN62" s="203">
        <v>0.04</v>
      </c>
      <c r="CO62" s="152">
        <v>0.06</v>
      </c>
      <c r="CP62" s="54">
        <v>0.06</v>
      </c>
      <c r="CQ62" s="54">
        <v>0.02</v>
      </c>
      <c r="CR62" s="99"/>
      <c r="CS62" s="99"/>
      <c r="CT62" s="99"/>
      <c r="CU62" s="99"/>
      <c r="CV62" s="45">
        <v>0</v>
      </c>
      <c r="CW62" s="45">
        <v>0</v>
      </c>
      <c r="CX62" s="146">
        <v>0</v>
      </c>
      <c r="CY62" s="5">
        <v>2526.4248495964284</v>
      </c>
      <c r="CZ62" s="5">
        <v>0</v>
      </c>
      <c r="DA62" s="46">
        <v>2325.5926786461055</v>
      </c>
      <c r="DB62" s="46">
        <v>0</v>
      </c>
      <c r="DC62" s="46">
        <v>0</v>
      </c>
      <c r="DD62" s="46">
        <v>0</v>
      </c>
      <c r="DE62" s="46">
        <v>0</v>
      </c>
      <c r="DF62" s="54"/>
      <c r="DG62" s="54"/>
      <c r="DH62" s="54"/>
      <c r="DI62" s="99"/>
      <c r="DJ62" s="99"/>
      <c r="DK62" s="99"/>
      <c r="DL62" s="99"/>
      <c r="DO62" s="5"/>
      <c r="DP62" s="5"/>
      <c r="DQ62" s="5"/>
      <c r="DW62" s="54"/>
      <c r="DX62" s="54"/>
      <c r="DY62" s="54"/>
      <c r="DZ62" s="99"/>
      <c r="EA62" s="99"/>
      <c r="EB62" s="99"/>
      <c r="EC62" s="99"/>
      <c r="ED62" s="425"/>
      <c r="EF62" s="5"/>
      <c r="EG62" s="5"/>
      <c r="EH62" s="5"/>
      <c r="EN62" s="63"/>
      <c r="EO62" s="89"/>
      <c r="EP62" s="89"/>
      <c r="ER62" s="220"/>
      <c r="ES62" s="89"/>
      <c r="EV62" s="45">
        <v>0</v>
      </c>
      <c r="FE62" s="53"/>
      <c r="FF62" s="89"/>
      <c r="FH62" s="54"/>
      <c r="FI62" s="54"/>
      <c r="FL62" s="46">
        <v>0</v>
      </c>
      <c r="FM62" s="45"/>
      <c r="FU62" s="45">
        <v>0</v>
      </c>
      <c r="FV62" s="46">
        <v>0</v>
      </c>
      <c r="FW62" s="46">
        <v>0</v>
      </c>
      <c r="FX62" s="46">
        <v>0</v>
      </c>
      <c r="FY62" s="63">
        <v>1</v>
      </c>
      <c r="FZ62" s="203">
        <v>0.04</v>
      </c>
      <c r="GA62" s="152">
        <v>0.06</v>
      </c>
      <c r="GB62" s="54">
        <v>0.06</v>
      </c>
      <c r="GC62" s="54">
        <v>0.02</v>
      </c>
      <c r="GD62" s="99"/>
      <c r="GE62" s="99"/>
      <c r="GF62" s="99"/>
      <c r="GG62" s="99"/>
      <c r="GH62" s="46">
        <v>0</v>
      </c>
      <c r="GI62" s="46">
        <v>0</v>
      </c>
      <c r="GJ62" s="5">
        <v>0</v>
      </c>
      <c r="GK62" s="5">
        <v>1894.8186371973211</v>
      </c>
      <c r="GL62" s="5">
        <v>0</v>
      </c>
      <c r="GM62" s="45">
        <v>1744.1945089845792</v>
      </c>
      <c r="GN62" s="46">
        <v>0</v>
      </c>
      <c r="GO62" s="46">
        <v>0</v>
      </c>
      <c r="GP62" s="46">
        <v>0</v>
      </c>
      <c r="GQ62" s="46">
        <v>0</v>
      </c>
      <c r="GR62" s="54"/>
      <c r="GS62" s="54"/>
      <c r="GT62" s="54"/>
      <c r="GU62" s="99"/>
      <c r="GV62" s="99"/>
      <c r="GW62" s="99"/>
      <c r="GX62" s="99"/>
      <c r="GZ62" s="45"/>
      <c r="HI62" s="54"/>
      <c r="HJ62" s="54"/>
      <c r="HK62" s="54"/>
      <c r="HL62" s="99"/>
      <c r="HM62" s="99"/>
      <c r="HN62" s="99"/>
      <c r="HO62" s="99"/>
      <c r="HQ62" s="45"/>
      <c r="HZ62" s="63"/>
      <c r="IA62" s="89"/>
      <c r="IB62" s="54"/>
      <c r="ID62" s="89"/>
      <c r="IE62" s="89"/>
      <c r="IH62" s="46">
        <v>0</v>
      </c>
      <c r="IP62" s="63"/>
      <c r="IQ62" s="89"/>
      <c r="IR62" s="89"/>
      <c r="IT62" s="89"/>
      <c r="IU62" s="89"/>
      <c r="IX62" s="46">
        <v>0</v>
      </c>
    </row>
    <row r="63" spans="1:260" s="46" customFormat="1">
      <c r="A63" s="86">
        <v>33</v>
      </c>
      <c r="B63" s="117">
        <v>0</v>
      </c>
      <c r="C63" s="117">
        <v>0</v>
      </c>
      <c r="D63" s="117">
        <v>0</v>
      </c>
      <c r="E63" s="117">
        <v>0</v>
      </c>
      <c r="F63" s="29">
        <v>1</v>
      </c>
      <c r="G63" s="29">
        <v>1</v>
      </c>
      <c r="H63" s="47">
        <v>54355</v>
      </c>
      <c r="I63" s="68">
        <v>2.2037569377728072</v>
      </c>
      <c r="J63" s="68">
        <v>2.2037569377728072</v>
      </c>
      <c r="K63" s="117">
        <v>38051.842413223749</v>
      </c>
      <c r="L63" s="46">
        <v>0</v>
      </c>
      <c r="M63" s="46">
        <v>0</v>
      </c>
      <c r="N63" s="46">
        <v>0</v>
      </c>
      <c r="O63" s="46">
        <v>0</v>
      </c>
      <c r="P63" s="46">
        <v>3970.5240854933509</v>
      </c>
      <c r="Q63" s="46">
        <v>0</v>
      </c>
      <c r="R63" s="46">
        <v>34081.318327730398</v>
      </c>
      <c r="S63" s="1189">
        <v>0</v>
      </c>
      <c r="T63" s="54">
        <v>4.3368086899420177E-19</v>
      </c>
      <c r="U63" s="54">
        <v>0</v>
      </c>
      <c r="V63" s="54">
        <v>1.7500000000000002E-2</v>
      </c>
      <c r="W63" s="54">
        <v>3.2500000000000001E-2</v>
      </c>
      <c r="X63" s="46">
        <v>6500</v>
      </c>
      <c r="Y63" s="46">
        <v>6500</v>
      </c>
      <c r="Z63" s="46">
        <v>0</v>
      </c>
      <c r="AA63" s="46">
        <v>0</v>
      </c>
      <c r="AB63" s="46">
        <v>0</v>
      </c>
      <c r="AC63" s="46">
        <v>0</v>
      </c>
      <c r="AD63" s="46">
        <v>0</v>
      </c>
      <c r="AE63" s="46">
        <v>0</v>
      </c>
      <c r="AF63" s="46">
        <v>34081.318327730398</v>
      </c>
      <c r="AG63" s="46">
        <v>3027.4380769594563</v>
      </c>
      <c r="AH63" s="46">
        <v>34081.318327730398</v>
      </c>
      <c r="AI63" s="46">
        <v>373253.60972067941</v>
      </c>
      <c r="AJ63" s="300">
        <v>1203</v>
      </c>
      <c r="AK63" s="300">
        <v>1121.8984615384616</v>
      </c>
      <c r="AL63" s="300">
        <v>1203</v>
      </c>
      <c r="AM63" s="300">
        <v>98.2</v>
      </c>
      <c r="AN63" s="300">
        <v>9.619935681938431</v>
      </c>
      <c r="AO63" s="300">
        <v>1310.8199356819384</v>
      </c>
      <c r="AP63" s="300">
        <v>34081.318327730398</v>
      </c>
      <c r="AQ63" s="300">
        <v>1622.9183277303991</v>
      </c>
      <c r="AR63" s="304"/>
      <c r="AS63" s="130">
        <v>2.6243902439024396E-2</v>
      </c>
      <c r="AT63" s="46">
        <v>0</v>
      </c>
      <c r="AU63" s="45"/>
      <c r="AV63" s="304">
        <v>0</v>
      </c>
      <c r="AW63" s="162">
        <v>0</v>
      </c>
      <c r="AX63" s="162">
        <v>0</v>
      </c>
      <c r="AY63" s="162">
        <v>0</v>
      </c>
      <c r="AZ63" s="162">
        <v>0</v>
      </c>
      <c r="BA63" s="162">
        <v>0</v>
      </c>
      <c r="BB63" s="162">
        <v>0</v>
      </c>
      <c r="BC63" s="45">
        <v>0</v>
      </c>
      <c r="BD63" s="45">
        <v>0</v>
      </c>
      <c r="BE63" s="45">
        <v>0</v>
      </c>
      <c r="BF63" s="45">
        <v>0</v>
      </c>
      <c r="BG63" s="250">
        <v>153932.42210343058</v>
      </c>
      <c r="BH63" s="152">
        <v>2.5000000000000001E-2</v>
      </c>
      <c r="BI63" s="54">
        <v>2.5000000000000001E-2</v>
      </c>
      <c r="BJ63" s="45">
        <v>0</v>
      </c>
      <c r="BK63" s="45">
        <v>0</v>
      </c>
      <c r="BL63" s="46">
        <v>0</v>
      </c>
      <c r="BM63" s="45">
        <v>2879.7581707663117</v>
      </c>
      <c r="BN63" s="45">
        <v>0</v>
      </c>
      <c r="BO63" s="45">
        <v>0</v>
      </c>
      <c r="BP63" s="45"/>
      <c r="BQ63" s="45">
        <v>0</v>
      </c>
      <c r="BR63" s="45">
        <v>0</v>
      </c>
      <c r="BS63" s="45">
        <v>0</v>
      </c>
      <c r="BT63" s="45">
        <v>0</v>
      </c>
      <c r="BU63" s="45">
        <v>0</v>
      </c>
      <c r="BV63" s="46">
        <v>3970.5240854933509</v>
      </c>
      <c r="BW63" s="46">
        <v>0</v>
      </c>
      <c r="BY63" s="5">
        <f t="shared" si="1"/>
        <v>70000</v>
      </c>
      <c r="BZ63" s="5">
        <f t="shared" si="7"/>
        <v>34081.318327730398</v>
      </c>
      <c r="CA63" s="5">
        <f t="shared" si="3"/>
        <v>0</v>
      </c>
      <c r="CB63" s="5">
        <f t="shared" si="0"/>
        <v>0</v>
      </c>
      <c r="CC63" s="5">
        <f t="shared" si="4"/>
        <v>3970.5240854933509</v>
      </c>
      <c r="CD63" s="5"/>
      <c r="CE63" s="5">
        <f t="shared" si="5"/>
        <v>0</v>
      </c>
      <c r="CF63" s="5"/>
      <c r="CG63" s="5"/>
      <c r="CI63" s="46">
        <v>0</v>
      </c>
      <c r="CJ63" s="46">
        <v>0</v>
      </c>
      <c r="CK63" s="46">
        <v>0</v>
      </c>
      <c r="CL63" s="46">
        <v>0</v>
      </c>
      <c r="CM63" s="63">
        <v>1</v>
      </c>
      <c r="CN63" s="203">
        <v>0.04</v>
      </c>
      <c r="CO63" s="152">
        <v>0.06</v>
      </c>
      <c r="CP63" s="54">
        <v>0.06</v>
      </c>
      <c r="CQ63" s="54">
        <v>0.02</v>
      </c>
      <c r="CR63" s="99"/>
      <c r="CS63" s="99"/>
      <c r="CT63" s="99"/>
      <c r="CU63" s="99"/>
      <c r="CV63" s="45">
        <v>0</v>
      </c>
      <c r="CW63" s="45">
        <v>0</v>
      </c>
      <c r="CX63" s="146">
        <v>0</v>
      </c>
      <c r="CY63" s="5">
        <v>2464.8047313135885</v>
      </c>
      <c r="CZ63" s="5">
        <v>0</v>
      </c>
      <c r="DA63" s="46">
        <v>2268.8709059962002</v>
      </c>
      <c r="DB63" s="46">
        <v>0</v>
      </c>
      <c r="DC63" s="46">
        <v>0</v>
      </c>
      <c r="DD63" s="46">
        <v>0</v>
      </c>
      <c r="DE63" s="46">
        <v>0</v>
      </c>
      <c r="DF63" s="54"/>
      <c r="DG63" s="54"/>
      <c r="DH63" s="54"/>
      <c r="DI63" s="99"/>
      <c r="DJ63" s="99"/>
      <c r="DK63" s="99"/>
      <c r="DL63" s="99"/>
      <c r="DN63" s="45"/>
      <c r="DO63" s="146"/>
      <c r="DP63" s="5"/>
      <c r="DQ63" s="5"/>
      <c r="DW63" s="54"/>
      <c r="DX63" s="54"/>
      <c r="DY63" s="54"/>
      <c r="DZ63" s="99"/>
      <c r="EA63" s="99"/>
      <c r="EB63" s="99"/>
      <c r="EC63" s="99"/>
      <c r="ED63" s="425"/>
      <c r="EE63" s="45"/>
      <c r="EF63" s="146"/>
      <c r="EG63" s="5"/>
      <c r="EH63" s="5"/>
      <c r="EN63" s="63"/>
      <c r="EO63" s="89"/>
      <c r="EP63" s="89"/>
      <c r="ER63" s="220"/>
      <c r="ES63" s="89"/>
      <c r="EV63" s="45">
        <v>0</v>
      </c>
      <c r="FE63" s="53"/>
      <c r="FF63" s="89"/>
      <c r="FH63" s="54"/>
      <c r="FI63" s="54"/>
      <c r="FL63" s="46">
        <v>0</v>
      </c>
      <c r="FM63" s="45"/>
      <c r="FU63" s="45">
        <v>0</v>
      </c>
      <c r="FV63" s="45">
        <v>0</v>
      </c>
      <c r="FW63" s="45">
        <v>0</v>
      </c>
      <c r="FX63" s="45">
        <v>0</v>
      </c>
      <c r="FY63" s="63">
        <v>1</v>
      </c>
      <c r="FZ63" s="203">
        <v>0.04</v>
      </c>
      <c r="GA63" s="152">
        <v>0.06</v>
      </c>
      <c r="GB63" s="54">
        <v>0.06</v>
      </c>
      <c r="GC63" s="54">
        <v>0.02</v>
      </c>
      <c r="GD63" s="99"/>
      <c r="GE63" s="99"/>
      <c r="GF63" s="99"/>
      <c r="GG63" s="99"/>
      <c r="GH63" s="46">
        <v>0</v>
      </c>
      <c r="GI63" s="46">
        <v>0</v>
      </c>
      <c r="GJ63" s="5">
        <v>0</v>
      </c>
      <c r="GK63" s="5">
        <v>1848.6035484851916</v>
      </c>
      <c r="GL63" s="5">
        <v>0</v>
      </c>
      <c r="GM63" s="45">
        <v>1701.6531794971504</v>
      </c>
      <c r="GN63" s="46">
        <v>0</v>
      </c>
      <c r="GO63" s="46">
        <v>0</v>
      </c>
      <c r="GP63" s="46">
        <v>0</v>
      </c>
      <c r="GQ63" s="46">
        <v>0</v>
      </c>
      <c r="GR63" s="54"/>
      <c r="GS63" s="54"/>
      <c r="GT63" s="54"/>
      <c r="GU63" s="99"/>
      <c r="GV63" s="99"/>
      <c r="GW63" s="99"/>
      <c r="GX63" s="99"/>
      <c r="GZ63" s="45"/>
      <c r="HI63" s="54"/>
      <c r="HJ63" s="54"/>
      <c r="HK63" s="54"/>
      <c r="HL63" s="99"/>
      <c r="HM63" s="99"/>
      <c r="HN63" s="99"/>
      <c r="HO63" s="99"/>
      <c r="HQ63" s="45"/>
      <c r="HZ63" s="63"/>
      <c r="IA63" s="89"/>
      <c r="IB63" s="54"/>
      <c r="ID63" s="89"/>
      <c r="IE63" s="89"/>
      <c r="IH63" s="46">
        <v>0</v>
      </c>
      <c r="IP63" s="63"/>
      <c r="IQ63" s="89"/>
      <c r="IR63" s="89"/>
      <c r="IT63" s="89"/>
      <c r="IU63" s="89"/>
      <c r="IX63" s="46">
        <v>0</v>
      </c>
    </row>
    <row r="64" spans="1:260" s="46" customFormat="1">
      <c r="A64" s="86">
        <v>34</v>
      </c>
      <c r="B64" s="117">
        <v>0</v>
      </c>
      <c r="C64" s="117">
        <v>0</v>
      </c>
      <c r="D64" s="117">
        <v>0</v>
      </c>
      <c r="E64" s="117">
        <v>0</v>
      </c>
      <c r="F64" s="29">
        <v>1</v>
      </c>
      <c r="G64" s="29">
        <v>1</v>
      </c>
      <c r="H64" s="47">
        <v>54720</v>
      </c>
      <c r="I64" s="68">
        <v>2.2588508612171276</v>
      </c>
      <c r="J64" s="68">
        <v>2.2588508612171276</v>
      </c>
      <c r="K64" s="117">
        <v>37948.89991534024</v>
      </c>
      <c r="L64" s="46">
        <v>0</v>
      </c>
      <c r="M64" s="46">
        <v>0</v>
      </c>
      <c r="N64" s="46">
        <v>0</v>
      </c>
      <c r="O64" s="46">
        <v>0</v>
      </c>
      <c r="P64" s="46">
        <v>3873.682034627659</v>
      </c>
      <c r="Q64" s="46">
        <v>0</v>
      </c>
      <c r="R64" s="46">
        <v>34075.217880712582</v>
      </c>
      <c r="S64" s="1189">
        <v>0</v>
      </c>
      <c r="T64" s="54">
        <v>4.3368086899420177E-19</v>
      </c>
      <c r="U64" s="54">
        <v>0</v>
      </c>
      <c r="V64" s="54">
        <v>1.7500000000000002E-2</v>
      </c>
      <c r="W64" s="54">
        <v>3.2500000000000001E-2</v>
      </c>
      <c r="X64" s="46">
        <v>6500</v>
      </c>
      <c r="Y64" s="46">
        <v>6500</v>
      </c>
      <c r="Z64" s="46">
        <v>0</v>
      </c>
      <c r="AA64" s="46">
        <v>0</v>
      </c>
      <c r="AB64" s="46">
        <v>0</v>
      </c>
      <c r="AC64" s="46">
        <v>0</v>
      </c>
      <c r="AD64" s="46">
        <v>0</v>
      </c>
      <c r="AE64" s="46">
        <v>0</v>
      </c>
      <c r="AF64" s="46">
        <v>34075.217880712582</v>
      </c>
      <c r="AG64" s="46">
        <v>2879.7581707663117</v>
      </c>
      <c r="AH64" s="46">
        <v>34075.217880712582</v>
      </c>
      <c r="AI64" s="46">
        <v>373253.60972067941</v>
      </c>
      <c r="AJ64" s="300">
        <v>1203</v>
      </c>
      <c r="AK64" s="300">
        <v>1121.8984615384616</v>
      </c>
      <c r="AL64" s="300">
        <v>1203</v>
      </c>
      <c r="AM64" s="300">
        <v>98.2</v>
      </c>
      <c r="AN64" s="300">
        <v>9.3853031043301751</v>
      </c>
      <c r="AO64" s="300">
        <v>1310.58530310433</v>
      </c>
      <c r="AP64" s="300">
        <v>34075.217880712582</v>
      </c>
      <c r="AQ64" s="300">
        <v>1616.8178807125846</v>
      </c>
      <c r="AR64" s="304"/>
      <c r="AS64" s="130">
        <v>2.6243902439024396E-2</v>
      </c>
      <c r="AT64" s="46">
        <v>0</v>
      </c>
      <c r="AU64" s="45"/>
      <c r="AV64" s="304">
        <v>0</v>
      </c>
      <c r="AW64" s="162">
        <v>0</v>
      </c>
      <c r="AX64" s="162">
        <v>0</v>
      </c>
      <c r="AY64" s="162">
        <v>0</v>
      </c>
      <c r="AZ64" s="162">
        <v>0</v>
      </c>
      <c r="BA64" s="162">
        <v>0</v>
      </c>
      <c r="BB64" s="162">
        <v>0</v>
      </c>
      <c r="BC64" s="45">
        <v>0</v>
      </c>
      <c r="BD64" s="45">
        <v>0</v>
      </c>
      <c r="BE64" s="45">
        <v>0</v>
      </c>
      <c r="BF64" s="45">
        <v>0</v>
      </c>
      <c r="BG64" s="250">
        <v>157780.73265601636</v>
      </c>
      <c r="BH64" s="152">
        <v>2.5000000000000001E-2</v>
      </c>
      <c r="BI64" s="54">
        <v>2.5000000000000001E-2</v>
      </c>
      <c r="BJ64" s="45">
        <v>0</v>
      </c>
      <c r="BK64" s="45">
        <v>0</v>
      </c>
      <c r="BL64" s="46">
        <v>0</v>
      </c>
      <c r="BM64" s="45">
        <v>2739.2821624362477</v>
      </c>
      <c r="BN64" s="45">
        <v>0</v>
      </c>
      <c r="BO64" s="45">
        <v>0</v>
      </c>
      <c r="BP64" s="45"/>
      <c r="BQ64" s="45">
        <v>0</v>
      </c>
      <c r="BR64" s="45">
        <v>0</v>
      </c>
      <c r="BS64" s="45">
        <v>0</v>
      </c>
      <c r="BT64" s="45">
        <v>0</v>
      </c>
      <c r="BU64" s="45">
        <v>0</v>
      </c>
      <c r="BV64" s="46">
        <v>3873.682034627659</v>
      </c>
      <c r="BW64" s="46">
        <v>0</v>
      </c>
      <c r="BY64" s="5">
        <f t="shared" si="1"/>
        <v>70000</v>
      </c>
      <c r="BZ64" s="5">
        <f t="shared" ref="BZ64:BZ72" si="8">R64</f>
        <v>34075.217880712582</v>
      </c>
      <c r="CA64" s="5">
        <f t="shared" si="3"/>
        <v>0</v>
      </c>
      <c r="CB64" s="5">
        <f t="shared" si="0"/>
        <v>0</v>
      </c>
      <c r="CC64" s="5">
        <f t="shared" ref="CC64:CC72" si="9">P64</f>
        <v>3873.682034627659</v>
      </c>
      <c r="CD64" s="5"/>
      <c r="CE64" s="5">
        <f t="shared" si="5"/>
        <v>0</v>
      </c>
      <c r="CF64" s="5"/>
      <c r="CG64" s="5"/>
      <c r="CI64" s="46">
        <v>0</v>
      </c>
      <c r="CJ64" s="46">
        <v>0</v>
      </c>
      <c r="CK64" s="46">
        <v>0</v>
      </c>
      <c r="CL64" s="46">
        <v>0</v>
      </c>
      <c r="CM64" s="63">
        <v>1</v>
      </c>
      <c r="CN64" s="203">
        <v>0.04</v>
      </c>
      <c r="CO64" s="152">
        <v>0.06</v>
      </c>
      <c r="CP64" s="54">
        <v>0.06</v>
      </c>
      <c r="CQ64" s="54">
        <v>0.02</v>
      </c>
      <c r="CR64" s="99"/>
      <c r="CS64" s="99"/>
      <c r="CT64" s="99"/>
      <c r="CU64" s="99"/>
      <c r="CV64" s="45">
        <v>0</v>
      </c>
      <c r="CW64" s="45">
        <v>0</v>
      </c>
      <c r="CX64" s="146">
        <v>0</v>
      </c>
      <c r="CY64" s="5">
        <v>2404.6875427449645</v>
      </c>
      <c r="CZ64" s="5">
        <v>0</v>
      </c>
      <c r="DA64" s="46">
        <v>2213.532591215805</v>
      </c>
      <c r="DB64" s="46">
        <v>0</v>
      </c>
      <c r="DC64" s="46">
        <v>0</v>
      </c>
      <c r="DD64" s="46">
        <v>0</v>
      </c>
      <c r="DE64" s="46">
        <v>0</v>
      </c>
      <c r="DF64" s="54"/>
      <c r="DG64" s="54"/>
      <c r="DH64" s="54"/>
      <c r="DI64" s="99"/>
      <c r="DJ64" s="99"/>
      <c r="DK64" s="99"/>
      <c r="DL64" s="99"/>
      <c r="DN64" s="45"/>
      <c r="DO64" s="146"/>
      <c r="DP64" s="5"/>
      <c r="DQ64" s="5"/>
      <c r="DW64" s="54"/>
      <c r="DX64" s="54"/>
      <c r="DY64" s="54"/>
      <c r="DZ64" s="99"/>
      <c r="EA64" s="99"/>
      <c r="EB64" s="99"/>
      <c r="EC64" s="99"/>
      <c r="ED64" s="425"/>
      <c r="EE64" s="45"/>
      <c r="EF64" s="146"/>
      <c r="EG64" s="5"/>
      <c r="EH64" s="5"/>
      <c r="EN64" s="63"/>
      <c r="EO64" s="89"/>
      <c r="EP64" s="89"/>
      <c r="ER64" s="220"/>
      <c r="ES64" s="89"/>
      <c r="EV64" s="45">
        <v>0</v>
      </c>
      <c r="FE64" s="53"/>
      <c r="FF64" s="89"/>
      <c r="FH64" s="54"/>
      <c r="FI64" s="54"/>
      <c r="FL64" s="46">
        <v>0</v>
      </c>
      <c r="FM64" s="45"/>
      <c r="FU64" s="45">
        <v>0</v>
      </c>
      <c r="FV64" s="45">
        <v>0</v>
      </c>
      <c r="FW64" s="45">
        <v>0</v>
      </c>
      <c r="FX64" s="45">
        <v>0</v>
      </c>
      <c r="FY64" s="63">
        <v>1</v>
      </c>
      <c r="FZ64" s="203">
        <v>0.04</v>
      </c>
      <c r="GA64" s="152">
        <v>0.06</v>
      </c>
      <c r="GB64" s="54">
        <v>0.06</v>
      </c>
      <c r="GC64" s="54">
        <v>0.02</v>
      </c>
      <c r="GD64" s="99"/>
      <c r="GE64" s="99"/>
      <c r="GF64" s="99"/>
      <c r="GG64" s="99"/>
      <c r="GH64" s="46">
        <v>0</v>
      </c>
      <c r="GI64" s="46">
        <v>0</v>
      </c>
      <c r="GJ64" s="5">
        <v>0</v>
      </c>
      <c r="GK64" s="5">
        <v>1803.5156570587233</v>
      </c>
      <c r="GL64" s="5">
        <v>0</v>
      </c>
      <c r="GM64" s="45">
        <v>1660.149443411854</v>
      </c>
      <c r="GN64" s="46">
        <v>0</v>
      </c>
      <c r="GO64" s="46">
        <v>0</v>
      </c>
      <c r="GP64" s="46">
        <v>0</v>
      </c>
      <c r="GQ64" s="46">
        <v>0</v>
      </c>
      <c r="GR64" s="54"/>
      <c r="GS64" s="54"/>
      <c r="GT64" s="54"/>
      <c r="GU64" s="99"/>
      <c r="GV64" s="99"/>
      <c r="GW64" s="99"/>
      <c r="GX64" s="99"/>
      <c r="GZ64" s="45"/>
      <c r="HI64" s="54"/>
      <c r="HJ64" s="54"/>
      <c r="HK64" s="54"/>
      <c r="HL64" s="99"/>
      <c r="HM64" s="99"/>
      <c r="HN64" s="99"/>
      <c r="HO64" s="99"/>
      <c r="HQ64" s="45"/>
      <c r="HZ64" s="63"/>
      <c r="IA64" s="89"/>
      <c r="IB64" s="54"/>
      <c r="ID64" s="89"/>
      <c r="IE64" s="89"/>
      <c r="IH64" s="46">
        <v>0</v>
      </c>
      <c r="IP64" s="63"/>
      <c r="IQ64" s="89"/>
      <c r="IR64" s="89"/>
      <c r="IT64" s="89"/>
      <c r="IU64" s="89"/>
      <c r="IX64" s="46">
        <v>0</v>
      </c>
    </row>
    <row r="65" spans="1:265" s="46" customFormat="1">
      <c r="A65" s="86">
        <v>35</v>
      </c>
      <c r="B65" s="117">
        <v>0</v>
      </c>
      <c r="C65" s="117">
        <v>0</v>
      </c>
      <c r="D65" s="117">
        <v>0</v>
      </c>
      <c r="E65" s="117">
        <v>0</v>
      </c>
      <c r="F65" s="29">
        <v>1</v>
      </c>
      <c r="G65" s="29">
        <v>1</v>
      </c>
      <c r="H65" s="47">
        <v>55085</v>
      </c>
      <c r="I65" s="68">
        <v>2.3153221327475557</v>
      </c>
      <c r="J65" s="68">
        <v>2.3153221327475557</v>
      </c>
      <c r="K65" s="117">
        <v>37848.468210088045</v>
      </c>
      <c r="L65" s="46">
        <v>0</v>
      </c>
      <c r="M65" s="46">
        <v>0</v>
      </c>
      <c r="N65" s="46">
        <v>0</v>
      </c>
      <c r="O65" s="46">
        <v>0</v>
      </c>
      <c r="P65" s="46">
        <v>3779.2019850025945</v>
      </c>
      <c r="Q65" s="46">
        <v>0</v>
      </c>
      <c r="R65" s="46">
        <v>34069.266225085448</v>
      </c>
      <c r="S65" s="1189">
        <v>0</v>
      </c>
      <c r="T65" s="54">
        <v>4.3368086899420177E-19</v>
      </c>
      <c r="U65" s="54">
        <v>0</v>
      </c>
      <c r="V65" s="54">
        <v>1.7500000000000002E-2</v>
      </c>
      <c r="W65" s="54">
        <v>3.2500000000000001E-2</v>
      </c>
      <c r="X65" s="46">
        <v>6500</v>
      </c>
      <c r="Y65" s="46">
        <v>6500</v>
      </c>
      <c r="Z65" s="46">
        <v>0</v>
      </c>
      <c r="AA65" s="46">
        <v>0</v>
      </c>
      <c r="AB65" s="46">
        <v>0</v>
      </c>
      <c r="AC65" s="46">
        <v>0</v>
      </c>
      <c r="AD65" s="46">
        <v>0</v>
      </c>
      <c r="AE65" s="46">
        <v>0</v>
      </c>
      <c r="AF65" s="46">
        <v>34069.266225085448</v>
      </c>
      <c r="AG65" s="46">
        <v>2739.2821624362477</v>
      </c>
      <c r="AH65" s="46">
        <v>34069.266225085448</v>
      </c>
      <c r="AI65" s="46">
        <v>373253.60972067941</v>
      </c>
      <c r="AJ65" s="300">
        <v>1203</v>
      </c>
      <c r="AK65" s="300">
        <v>1121.8984615384616</v>
      </c>
      <c r="AL65" s="300">
        <v>1203</v>
      </c>
      <c r="AM65" s="300">
        <v>98.2</v>
      </c>
      <c r="AN65" s="300">
        <v>9.1563932725172457</v>
      </c>
      <c r="AO65" s="300">
        <v>1310.3563932725172</v>
      </c>
      <c r="AP65" s="300">
        <v>34069.266225085448</v>
      </c>
      <c r="AQ65" s="300">
        <v>1610.8662250854484</v>
      </c>
      <c r="AR65" s="304"/>
      <c r="AS65" s="130">
        <v>2.6243902439024396E-2</v>
      </c>
      <c r="AT65" s="46">
        <v>0</v>
      </c>
      <c r="AU65" s="45"/>
      <c r="AV65" s="304">
        <v>0</v>
      </c>
      <c r="AW65" s="162">
        <v>0</v>
      </c>
      <c r="AX65" s="162">
        <v>0</v>
      </c>
      <c r="AY65" s="162">
        <v>0</v>
      </c>
      <c r="AZ65" s="162">
        <v>0</v>
      </c>
      <c r="BA65" s="162">
        <v>0</v>
      </c>
      <c r="BB65" s="162">
        <v>0</v>
      </c>
      <c r="BC65" s="45">
        <v>0</v>
      </c>
      <c r="BD65" s="45">
        <v>0</v>
      </c>
      <c r="BE65" s="45">
        <v>0</v>
      </c>
      <c r="BF65" s="45">
        <v>0</v>
      </c>
      <c r="BG65" s="250">
        <v>161725.25097241678</v>
      </c>
      <c r="BH65" s="152">
        <v>2.5000000000000001E-2</v>
      </c>
      <c r="BI65" s="54">
        <v>2.5000000000000001E-2</v>
      </c>
      <c r="BJ65" s="45">
        <v>0</v>
      </c>
      <c r="BK65" s="45">
        <v>0</v>
      </c>
      <c r="BL65" s="46">
        <v>0</v>
      </c>
      <c r="BM65" s="45">
        <v>2605.6586423174062</v>
      </c>
      <c r="BN65" s="45">
        <v>0</v>
      </c>
      <c r="BO65" s="45">
        <v>0</v>
      </c>
      <c r="BP65" s="45"/>
      <c r="BQ65" s="45">
        <v>0</v>
      </c>
      <c r="BR65" s="45">
        <v>0</v>
      </c>
      <c r="BS65" s="45">
        <v>0</v>
      </c>
      <c r="BT65" s="45">
        <v>0</v>
      </c>
      <c r="BU65" s="45">
        <v>0</v>
      </c>
      <c r="BV65" s="46">
        <v>3779.2019850025945</v>
      </c>
      <c r="BW65" s="46">
        <v>0</v>
      </c>
      <c r="BY65" s="5">
        <f t="shared" si="1"/>
        <v>70000</v>
      </c>
      <c r="BZ65" s="5">
        <f t="shared" si="8"/>
        <v>34069.266225085448</v>
      </c>
      <c r="CA65" s="5">
        <f t="shared" si="3"/>
        <v>0</v>
      </c>
      <c r="CB65" s="5">
        <f t="shared" si="0"/>
        <v>0</v>
      </c>
      <c r="CC65" s="5">
        <f t="shared" si="9"/>
        <v>3779.2019850025945</v>
      </c>
      <c r="CD65" s="5"/>
      <c r="CE65" s="5">
        <f t="shared" si="5"/>
        <v>0</v>
      </c>
      <c r="CF65" s="5"/>
      <c r="CG65" s="5"/>
      <c r="CI65" s="46">
        <v>0</v>
      </c>
      <c r="CJ65" s="46">
        <v>0</v>
      </c>
      <c r="CK65" s="46">
        <v>0</v>
      </c>
      <c r="CL65" s="46">
        <v>0</v>
      </c>
      <c r="CM65" s="63">
        <v>1</v>
      </c>
      <c r="CN65" s="203">
        <v>0.04</v>
      </c>
      <c r="CO65" s="152">
        <v>0.06</v>
      </c>
      <c r="CP65" s="54">
        <v>0.06</v>
      </c>
      <c r="CQ65" s="54">
        <v>0.02</v>
      </c>
      <c r="CR65" s="99"/>
      <c r="CS65" s="99"/>
      <c r="CT65" s="99"/>
      <c r="CU65" s="99"/>
      <c r="CV65" s="45">
        <v>0</v>
      </c>
      <c r="CW65" s="45">
        <v>0</v>
      </c>
      <c r="CX65" s="146">
        <v>0</v>
      </c>
      <c r="CY65" s="5">
        <v>2346.036627068258</v>
      </c>
      <c r="CZ65" s="5">
        <v>0</v>
      </c>
      <c r="DA65" s="46">
        <v>2159.5439914300537</v>
      </c>
      <c r="DB65" s="46">
        <v>0</v>
      </c>
      <c r="DC65" s="46">
        <v>0</v>
      </c>
      <c r="DD65" s="46">
        <v>0</v>
      </c>
      <c r="DE65" s="46">
        <v>0</v>
      </c>
      <c r="DF65" s="54"/>
      <c r="DG65" s="54"/>
      <c r="DH65" s="54"/>
      <c r="DI65" s="99"/>
      <c r="DJ65" s="99"/>
      <c r="DK65" s="99"/>
      <c r="DL65" s="99"/>
      <c r="DN65" s="45"/>
      <c r="DO65" s="146"/>
      <c r="DP65" s="5"/>
      <c r="DQ65" s="5"/>
      <c r="DW65" s="54"/>
      <c r="DX65" s="54"/>
      <c r="DY65" s="54"/>
      <c r="DZ65" s="99"/>
      <c r="EA65" s="99"/>
      <c r="EB65" s="99"/>
      <c r="EC65" s="99"/>
      <c r="ED65" s="425"/>
      <c r="EE65" s="45"/>
      <c r="EF65" s="146"/>
      <c r="EG65" s="5"/>
      <c r="EH65" s="5"/>
      <c r="EN65" s="63"/>
      <c r="EO65" s="89"/>
      <c r="EP65" s="89"/>
      <c r="ER65" s="220"/>
      <c r="ES65" s="89"/>
      <c r="EV65" s="45">
        <v>0</v>
      </c>
      <c r="FE65" s="53"/>
      <c r="FF65" s="89"/>
      <c r="FH65" s="54"/>
      <c r="FI65" s="54"/>
      <c r="FL65" s="46">
        <v>0</v>
      </c>
      <c r="FM65" s="45"/>
      <c r="FU65" s="45">
        <v>0</v>
      </c>
      <c r="FV65" s="45">
        <v>0</v>
      </c>
      <c r="FW65" s="45">
        <v>0</v>
      </c>
      <c r="FX65" s="45">
        <v>0</v>
      </c>
      <c r="FY65" s="63">
        <v>1</v>
      </c>
      <c r="FZ65" s="203">
        <v>0.04</v>
      </c>
      <c r="GA65" s="152">
        <v>0.06</v>
      </c>
      <c r="GB65" s="54">
        <v>0.06</v>
      </c>
      <c r="GC65" s="54">
        <v>0.02</v>
      </c>
      <c r="GD65" s="99"/>
      <c r="GE65" s="99"/>
      <c r="GF65" s="99"/>
      <c r="GG65" s="99"/>
      <c r="GH65" s="46">
        <v>0</v>
      </c>
      <c r="GI65" s="46">
        <v>0</v>
      </c>
      <c r="GJ65" s="5">
        <v>0</v>
      </c>
      <c r="GK65" s="5">
        <v>1759.5274703011935</v>
      </c>
      <c r="GL65" s="5">
        <v>0</v>
      </c>
      <c r="GM65" s="45">
        <v>1619.6579935725406</v>
      </c>
      <c r="GN65" s="46">
        <v>0</v>
      </c>
      <c r="GO65" s="46">
        <v>0</v>
      </c>
      <c r="GP65" s="46">
        <v>0</v>
      </c>
      <c r="GQ65" s="46">
        <v>0</v>
      </c>
      <c r="GR65" s="54"/>
      <c r="GS65" s="54"/>
      <c r="GT65" s="54"/>
      <c r="GU65" s="99"/>
      <c r="GV65" s="99"/>
      <c r="GW65" s="99"/>
      <c r="GX65" s="99"/>
      <c r="GZ65" s="45"/>
      <c r="HI65" s="54"/>
      <c r="HJ65" s="54"/>
      <c r="HK65" s="54"/>
      <c r="HL65" s="99"/>
      <c r="HM65" s="99"/>
      <c r="HN65" s="99"/>
      <c r="HO65" s="99"/>
      <c r="HQ65" s="45"/>
      <c r="HZ65" s="63"/>
      <c r="IA65" s="89"/>
      <c r="IB65" s="54"/>
      <c r="ID65" s="89"/>
      <c r="IE65" s="89"/>
      <c r="IH65" s="46">
        <v>0</v>
      </c>
      <c r="IP65" s="63"/>
      <c r="IQ65" s="89"/>
      <c r="IR65" s="89"/>
      <c r="IT65" s="89"/>
      <c r="IU65" s="89"/>
      <c r="IX65" s="46">
        <v>0</v>
      </c>
    </row>
    <row r="66" spans="1:265" s="46" customFormat="1">
      <c r="A66" s="86">
        <v>36</v>
      </c>
      <c r="B66" s="117"/>
      <c r="C66" s="117"/>
      <c r="D66" s="117"/>
      <c r="E66" s="117"/>
      <c r="F66" s="29"/>
      <c r="G66" s="29"/>
      <c r="H66" s="47"/>
      <c r="I66" s="68"/>
      <c r="J66" s="68"/>
      <c r="K66" s="117"/>
      <c r="S66" s="53"/>
      <c r="T66" s="54"/>
      <c r="U66" s="54"/>
      <c r="V66" s="54"/>
      <c r="W66" s="54"/>
      <c r="AR66" s="304"/>
      <c r="AS66" s="130"/>
      <c r="AU66" s="45"/>
      <c r="AV66" s="304"/>
      <c r="AW66" s="162"/>
      <c r="AX66" s="162"/>
      <c r="AY66" s="162"/>
      <c r="AZ66" s="162"/>
      <c r="BA66" s="162"/>
      <c r="BB66" s="162"/>
      <c r="BC66" s="45"/>
      <c r="BD66" s="45"/>
      <c r="BE66" s="45"/>
      <c r="BF66" s="45"/>
      <c r="BG66" s="250"/>
      <c r="BH66" s="152"/>
      <c r="BI66" s="54"/>
      <c r="BJ66" s="45"/>
      <c r="BK66" s="45"/>
      <c r="BL66" s="45"/>
      <c r="BM66" s="45"/>
      <c r="BN66" s="45"/>
      <c r="BO66" s="45"/>
      <c r="BP66" s="45"/>
      <c r="BQ66" s="45"/>
      <c r="BR66" s="45"/>
      <c r="BS66" s="45"/>
      <c r="BT66" s="45"/>
      <c r="BU66" s="45"/>
      <c r="BY66" s="5">
        <f t="shared" si="1"/>
        <v>70000</v>
      </c>
      <c r="BZ66" s="5">
        <f t="shared" si="8"/>
        <v>0</v>
      </c>
      <c r="CA66" s="5">
        <f t="shared" si="3"/>
        <v>0</v>
      </c>
      <c r="CB66" s="5">
        <f t="shared" si="0"/>
        <v>0</v>
      </c>
      <c r="CC66" s="5">
        <f t="shared" si="9"/>
        <v>0</v>
      </c>
      <c r="CD66" s="5"/>
      <c r="CE66" s="5">
        <f t="shared" si="5"/>
        <v>0</v>
      </c>
      <c r="CF66" s="5"/>
      <c r="CG66" s="5"/>
      <c r="CM66" s="63"/>
      <c r="CN66" s="203"/>
      <c r="CO66" s="152"/>
      <c r="CP66" s="54"/>
      <c r="CQ66" s="54"/>
      <c r="CR66" s="99"/>
      <c r="CS66" s="99"/>
      <c r="CT66" s="99"/>
      <c r="CU66" s="99"/>
      <c r="CV66" s="45"/>
      <c r="CW66" s="45"/>
      <c r="CX66" s="146"/>
      <c r="CY66" s="5"/>
      <c r="CZ66" s="5"/>
      <c r="DF66" s="54"/>
      <c r="DG66" s="54"/>
      <c r="DH66" s="54"/>
      <c r="DI66" s="99"/>
      <c r="DJ66" s="99"/>
      <c r="DK66" s="99"/>
      <c r="DL66" s="99"/>
      <c r="DN66" s="45"/>
      <c r="DO66" s="146"/>
      <c r="DP66" s="5"/>
      <c r="DQ66" s="5"/>
      <c r="DW66" s="54"/>
      <c r="DX66" s="54"/>
      <c r="DY66" s="54"/>
      <c r="DZ66" s="99"/>
      <c r="EA66" s="99"/>
      <c r="EB66" s="99"/>
      <c r="EC66" s="99"/>
      <c r="ED66" s="425"/>
      <c r="EE66" s="45"/>
      <c r="EF66" s="146"/>
      <c r="EG66" s="5"/>
      <c r="EH66" s="5"/>
      <c r="EN66" s="63"/>
      <c r="EO66" s="89"/>
      <c r="EP66" s="89"/>
      <c r="ER66" s="220"/>
      <c r="ES66" s="89"/>
      <c r="EV66" s="45"/>
      <c r="FE66" s="53"/>
      <c r="FF66" s="89"/>
      <c r="FH66" s="53"/>
      <c r="FI66" s="54"/>
      <c r="FM66" s="45"/>
      <c r="FU66" s="45"/>
      <c r="FV66" s="45"/>
      <c r="FW66" s="45"/>
      <c r="FX66" s="45"/>
      <c r="FY66" s="63"/>
      <c r="FZ66" s="203"/>
      <c r="GA66" s="152"/>
      <c r="GB66" s="54"/>
      <c r="GC66" s="54"/>
      <c r="GD66" s="99"/>
      <c r="GE66" s="99"/>
      <c r="GF66" s="99"/>
      <c r="GG66" s="99"/>
      <c r="GJ66" s="5"/>
      <c r="GK66" s="5"/>
      <c r="GL66" s="5"/>
      <c r="GM66" s="45"/>
      <c r="GR66" s="54"/>
      <c r="GS66" s="54"/>
      <c r="GT66" s="54"/>
      <c r="GU66" s="99"/>
      <c r="GV66" s="99"/>
      <c r="GW66" s="99"/>
      <c r="GX66" s="99"/>
      <c r="GZ66" s="45"/>
      <c r="HA66" s="45"/>
      <c r="HI66" s="54"/>
      <c r="HJ66" s="54"/>
      <c r="HK66" s="54"/>
      <c r="HL66" s="99"/>
      <c r="HM66" s="99"/>
      <c r="HN66" s="99"/>
      <c r="HO66" s="99"/>
      <c r="HQ66" s="45"/>
      <c r="HR66" s="45"/>
      <c r="HZ66" s="63"/>
      <c r="IA66" s="89"/>
      <c r="IB66" s="54"/>
      <c r="ID66" s="89"/>
      <c r="IE66" s="89"/>
      <c r="IP66" s="63"/>
      <c r="IQ66" s="89"/>
      <c r="IR66" s="89"/>
      <c r="IT66" s="89"/>
      <c r="IU66" s="89"/>
    </row>
    <row r="67" spans="1:265" s="46" customFormat="1">
      <c r="A67" s="86">
        <v>37</v>
      </c>
      <c r="B67" s="117"/>
      <c r="C67" s="117"/>
      <c r="D67" s="117"/>
      <c r="E67" s="117"/>
      <c r="F67" s="29"/>
      <c r="G67" s="29"/>
      <c r="H67" s="47"/>
      <c r="I67" s="68"/>
      <c r="J67" s="68"/>
      <c r="K67" s="117"/>
      <c r="S67" s="53"/>
      <c r="T67" s="54"/>
      <c r="U67" s="54"/>
      <c r="V67" s="54"/>
      <c r="W67" s="54"/>
      <c r="AR67" s="304"/>
      <c r="AS67" s="130"/>
      <c r="AU67" s="45"/>
      <c r="AV67" s="304"/>
      <c r="AW67" s="162"/>
      <c r="AX67" s="162"/>
      <c r="AY67" s="162"/>
      <c r="AZ67" s="162"/>
      <c r="BA67" s="162"/>
      <c r="BB67" s="162"/>
      <c r="BC67" s="45"/>
      <c r="BD67" s="45"/>
      <c r="BE67" s="45"/>
      <c r="BF67" s="45"/>
      <c r="BG67" s="250"/>
      <c r="BH67" s="152"/>
      <c r="BI67" s="54"/>
      <c r="BJ67" s="45"/>
      <c r="BK67" s="45"/>
      <c r="BL67" s="45"/>
      <c r="BM67" s="45"/>
      <c r="BN67" s="45"/>
      <c r="BO67" s="45"/>
      <c r="BP67" s="45"/>
      <c r="BQ67" s="45"/>
      <c r="BR67" s="45"/>
      <c r="BS67" s="45"/>
      <c r="BT67" s="45"/>
      <c r="BU67" s="45"/>
      <c r="BY67" s="5">
        <f t="shared" si="1"/>
        <v>70000</v>
      </c>
      <c r="BZ67" s="5">
        <f t="shared" si="8"/>
        <v>0</v>
      </c>
      <c r="CA67" s="5">
        <f t="shared" si="3"/>
        <v>0</v>
      </c>
      <c r="CB67" s="5">
        <f t="shared" si="0"/>
        <v>0</v>
      </c>
      <c r="CC67" s="5">
        <f t="shared" si="9"/>
        <v>0</v>
      </c>
      <c r="CD67" s="5"/>
      <c r="CE67" s="5">
        <f t="shared" si="5"/>
        <v>0</v>
      </c>
      <c r="CF67" s="5"/>
      <c r="CG67" s="5"/>
      <c r="CM67" s="63"/>
      <c r="CN67" s="203"/>
      <c r="CO67" s="152"/>
      <c r="CP67" s="54"/>
      <c r="CQ67" s="54"/>
      <c r="CR67" s="54"/>
      <c r="CS67" s="54"/>
      <c r="CT67" s="54"/>
      <c r="CU67" s="54"/>
      <c r="CV67" s="45"/>
      <c r="CW67" s="45"/>
      <c r="CX67" s="146"/>
      <c r="CY67" s="5"/>
      <c r="CZ67" s="5"/>
      <c r="DF67" s="54"/>
      <c r="DG67" s="54"/>
      <c r="DH67" s="54"/>
      <c r="DI67" s="54"/>
      <c r="DJ67" s="54"/>
      <c r="DK67" s="54"/>
      <c r="DL67" s="54"/>
      <c r="DN67" s="45"/>
      <c r="DO67" s="146"/>
      <c r="DP67" s="5"/>
      <c r="DQ67" s="5"/>
      <c r="DW67" s="54"/>
      <c r="DX67" s="54"/>
      <c r="DY67" s="54"/>
      <c r="DZ67" s="54"/>
      <c r="EA67" s="54"/>
      <c r="EB67" s="54"/>
      <c r="EC67" s="54"/>
      <c r="ED67" s="45"/>
      <c r="EE67" s="45"/>
      <c r="EF67" s="146"/>
      <c r="EG67" s="5"/>
      <c r="EH67" s="5"/>
      <c r="EN67" s="63"/>
      <c r="EO67" s="89"/>
      <c r="EP67" s="89"/>
      <c r="ER67" s="220"/>
      <c r="ES67" s="89"/>
      <c r="EV67" s="45"/>
      <c r="FE67" s="53"/>
      <c r="FF67" s="89"/>
      <c r="FH67" s="53"/>
      <c r="FI67" s="54"/>
      <c r="FM67" s="45"/>
      <c r="FU67" s="45"/>
      <c r="FV67" s="45"/>
      <c r="FW67" s="45"/>
      <c r="FX67" s="45"/>
      <c r="FY67" s="63"/>
      <c r="FZ67" s="203"/>
      <c r="GA67" s="152"/>
      <c r="GB67" s="54"/>
      <c r="GC67" s="54"/>
      <c r="GD67" s="54"/>
      <c r="GE67" s="54"/>
      <c r="GF67" s="54"/>
      <c r="GG67" s="54"/>
      <c r="GJ67" s="5"/>
      <c r="GK67" s="5"/>
      <c r="GL67" s="5"/>
      <c r="GM67" s="45"/>
      <c r="GR67" s="54"/>
      <c r="GS67" s="54"/>
      <c r="GT67" s="54"/>
      <c r="GU67" s="54"/>
      <c r="GV67" s="54"/>
      <c r="GW67" s="54"/>
      <c r="GX67" s="54"/>
      <c r="GZ67" s="45"/>
      <c r="HA67" s="45"/>
      <c r="HC67" s="45"/>
      <c r="HD67" s="45"/>
      <c r="HI67" s="54"/>
      <c r="HJ67" s="54"/>
      <c r="HK67" s="54"/>
      <c r="HL67" s="54"/>
      <c r="HM67" s="54"/>
      <c r="HN67" s="54"/>
      <c r="HO67" s="54"/>
      <c r="HQ67" s="45"/>
      <c r="HR67" s="45"/>
      <c r="HT67" s="45"/>
      <c r="HU67" s="45"/>
      <c r="HZ67" s="63"/>
      <c r="IA67" s="89"/>
      <c r="IB67" s="54"/>
      <c r="ID67" s="89"/>
      <c r="IE67" s="89"/>
      <c r="IP67" s="63"/>
      <c r="IQ67" s="89"/>
      <c r="IR67" s="89"/>
      <c r="IT67" s="89"/>
      <c r="IU67" s="89"/>
    </row>
    <row r="68" spans="1:265" s="46" customFormat="1">
      <c r="A68" s="86">
        <v>38</v>
      </c>
      <c r="B68" s="117"/>
      <c r="C68" s="117"/>
      <c r="D68" s="117"/>
      <c r="E68" s="117"/>
      <c r="F68" s="29"/>
      <c r="G68" s="29"/>
      <c r="H68" s="47"/>
      <c r="I68" s="68"/>
      <c r="J68" s="68"/>
      <c r="K68" s="117"/>
      <c r="S68" s="53"/>
      <c r="T68" s="54"/>
      <c r="U68" s="54"/>
      <c r="V68" s="54"/>
      <c r="W68" s="54"/>
      <c r="AQ68" s="300"/>
      <c r="AR68" s="304"/>
      <c r="AS68" s="130"/>
      <c r="AU68" s="45"/>
      <c r="AV68" s="304"/>
      <c r="AW68" s="162"/>
      <c r="AX68" s="162"/>
      <c r="AY68" s="162"/>
      <c r="AZ68" s="162"/>
      <c r="BA68" s="162"/>
      <c r="BB68" s="162"/>
      <c r="BC68" s="45"/>
      <c r="BD68" s="45"/>
      <c r="BE68" s="45"/>
      <c r="BF68" s="45"/>
      <c r="BG68" s="250"/>
      <c r="BH68" s="152"/>
      <c r="BI68" s="54"/>
      <c r="BJ68" s="45"/>
      <c r="BK68" s="45"/>
      <c r="BL68" s="45"/>
      <c r="BM68" s="45"/>
      <c r="BN68" s="45"/>
      <c r="BO68" s="45"/>
      <c r="BP68" s="45"/>
      <c r="BQ68" s="45"/>
      <c r="BR68" s="45"/>
      <c r="BS68" s="45"/>
      <c r="BT68" s="45"/>
      <c r="BU68" s="45"/>
      <c r="BY68" s="5">
        <f t="shared" si="1"/>
        <v>70000</v>
      </c>
      <c r="BZ68" s="5">
        <f t="shared" si="8"/>
        <v>0</v>
      </c>
      <c r="CA68" s="5">
        <f t="shared" si="3"/>
        <v>0</v>
      </c>
      <c r="CB68" s="5">
        <f t="shared" si="0"/>
        <v>0</v>
      </c>
      <c r="CC68" s="5">
        <f t="shared" si="9"/>
        <v>0</v>
      </c>
      <c r="CD68" s="5"/>
      <c r="CE68" s="5">
        <f t="shared" si="5"/>
        <v>0</v>
      </c>
      <c r="CF68" s="5"/>
      <c r="CG68" s="5"/>
      <c r="CI68" s="45"/>
      <c r="CJ68" s="45"/>
      <c r="CK68" s="45"/>
      <c r="CL68" s="45"/>
      <c r="CM68" s="63"/>
      <c r="CN68" s="203"/>
      <c r="CO68" s="152"/>
      <c r="CP68" s="54"/>
      <c r="CQ68" s="54"/>
      <c r="CR68" s="54"/>
      <c r="CS68" s="54"/>
      <c r="CT68" s="54"/>
      <c r="CU68" s="54"/>
      <c r="CV68" s="45"/>
      <c r="CW68" s="45"/>
      <c r="CX68" s="146"/>
      <c r="CY68" s="5"/>
      <c r="CZ68" s="5"/>
      <c r="DF68" s="54"/>
      <c r="DG68" s="54"/>
      <c r="DH68" s="54"/>
      <c r="DI68" s="54"/>
      <c r="DJ68" s="54"/>
      <c r="DK68" s="54"/>
      <c r="DL68" s="54"/>
      <c r="DN68" s="45"/>
      <c r="DO68" s="146"/>
      <c r="DP68" s="5"/>
      <c r="DQ68" s="5"/>
      <c r="DW68" s="54"/>
      <c r="DX68" s="54"/>
      <c r="DY68" s="54"/>
      <c r="DZ68" s="54"/>
      <c r="EA68" s="54"/>
      <c r="EB68" s="54"/>
      <c r="EC68" s="54"/>
      <c r="ED68" s="45"/>
      <c r="EE68" s="45"/>
      <c r="EF68" s="146"/>
      <c r="EG68" s="5"/>
      <c r="EH68" s="5"/>
      <c r="EN68" s="63"/>
      <c r="EO68" s="89"/>
      <c r="EP68" s="89"/>
      <c r="ER68" s="220"/>
      <c r="ES68" s="89"/>
      <c r="EV68" s="45"/>
      <c r="FE68" s="53"/>
      <c r="FF68" s="89"/>
      <c r="FH68" s="53"/>
      <c r="FI68" s="54"/>
      <c r="FM68" s="45"/>
      <c r="FU68" s="45"/>
      <c r="FV68" s="45"/>
      <c r="FW68" s="45"/>
      <c r="FX68" s="45"/>
      <c r="FY68" s="63"/>
      <c r="FZ68" s="203"/>
      <c r="GA68" s="152"/>
      <c r="GB68" s="54"/>
      <c r="GC68" s="54"/>
      <c r="GD68" s="54"/>
      <c r="GE68" s="54"/>
      <c r="GF68" s="54"/>
      <c r="GG68" s="54"/>
      <c r="GJ68" s="5"/>
      <c r="GK68" s="5"/>
      <c r="GL68" s="5"/>
      <c r="GM68" s="45"/>
      <c r="GR68" s="54"/>
      <c r="GS68" s="54"/>
      <c r="GT68" s="54"/>
      <c r="GU68" s="54"/>
      <c r="GV68" s="54"/>
      <c r="GW68" s="54"/>
      <c r="GX68" s="54"/>
      <c r="GY68" s="45"/>
      <c r="GZ68" s="45"/>
      <c r="HA68" s="45"/>
      <c r="HC68" s="45"/>
      <c r="HD68" s="45"/>
      <c r="HI68" s="54"/>
      <c r="HJ68" s="54"/>
      <c r="HK68" s="54"/>
      <c r="HL68" s="54"/>
      <c r="HM68" s="54"/>
      <c r="HN68" s="54"/>
      <c r="HO68" s="54"/>
      <c r="HP68" s="45"/>
      <c r="HQ68" s="45"/>
      <c r="HR68" s="45"/>
      <c r="HT68" s="45"/>
      <c r="HU68" s="45"/>
      <c r="HZ68" s="63"/>
      <c r="IA68" s="89"/>
      <c r="IB68" s="54"/>
      <c r="ID68" s="89"/>
      <c r="IE68" s="89"/>
      <c r="IH68" s="45"/>
      <c r="IP68" s="63"/>
      <c r="IQ68" s="89"/>
      <c r="IR68" s="89"/>
      <c r="IT68" s="89"/>
      <c r="IU68" s="89"/>
      <c r="IY68" s="45"/>
    </row>
    <row r="69" spans="1:265" s="46" customFormat="1">
      <c r="A69" s="86">
        <v>39</v>
      </c>
      <c r="B69" s="117"/>
      <c r="C69" s="117"/>
      <c r="D69" s="117"/>
      <c r="E69" s="117"/>
      <c r="F69" s="29"/>
      <c r="G69" s="29"/>
      <c r="H69" s="47"/>
      <c r="I69" s="68"/>
      <c r="J69" s="68"/>
      <c r="K69" s="117"/>
      <c r="S69" s="53"/>
      <c r="T69" s="54"/>
      <c r="U69" s="54"/>
      <c r="V69" s="54"/>
      <c r="W69" s="54"/>
      <c r="AO69" s="300"/>
      <c r="AP69" s="300"/>
      <c r="AQ69" s="300"/>
      <c r="AR69" s="304"/>
      <c r="AS69" s="130"/>
      <c r="AU69" s="45"/>
      <c r="AV69" s="304"/>
      <c r="AW69" s="162"/>
      <c r="AX69" s="162"/>
      <c r="AY69" s="162"/>
      <c r="AZ69" s="162"/>
      <c r="BA69" s="162"/>
      <c r="BB69" s="162"/>
      <c r="BC69" s="45"/>
      <c r="BD69" s="45"/>
      <c r="BE69" s="45"/>
      <c r="BF69" s="45"/>
      <c r="BG69" s="250"/>
      <c r="BH69" s="152"/>
      <c r="BI69" s="54"/>
      <c r="BJ69" s="45"/>
      <c r="BK69" s="45"/>
      <c r="BL69" s="45"/>
      <c r="BM69" s="45"/>
      <c r="BN69" s="45"/>
      <c r="BO69" s="45"/>
      <c r="BP69" s="45"/>
      <c r="BQ69" s="45"/>
      <c r="BR69" s="45"/>
      <c r="BS69" s="45"/>
      <c r="BT69" s="45"/>
      <c r="BU69" s="45"/>
      <c r="BY69" s="5">
        <f t="shared" si="1"/>
        <v>70000</v>
      </c>
      <c r="BZ69" s="5">
        <f t="shared" si="8"/>
        <v>0</v>
      </c>
      <c r="CA69" s="5">
        <f t="shared" si="3"/>
        <v>0</v>
      </c>
      <c r="CB69" s="5">
        <f t="shared" si="0"/>
        <v>0</v>
      </c>
      <c r="CC69" s="5">
        <f t="shared" si="9"/>
        <v>0</v>
      </c>
      <c r="CD69" s="5"/>
      <c r="CE69" s="5">
        <f t="shared" si="5"/>
        <v>0</v>
      </c>
      <c r="CF69" s="5"/>
      <c r="CG69" s="5"/>
      <c r="CI69" s="45"/>
      <c r="CJ69" s="45"/>
      <c r="CK69" s="45"/>
      <c r="CL69" s="45"/>
      <c r="CM69" s="63"/>
      <c r="CN69" s="203"/>
      <c r="CO69" s="152"/>
      <c r="CP69" s="54"/>
      <c r="CQ69" s="54"/>
      <c r="CR69" s="54"/>
      <c r="CS69" s="54"/>
      <c r="CT69" s="54"/>
      <c r="CU69" s="54"/>
      <c r="CV69" s="45"/>
      <c r="CW69" s="45"/>
      <c r="CX69" s="146"/>
      <c r="CY69" s="5"/>
      <c r="CZ69" s="5"/>
      <c r="DF69" s="54"/>
      <c r="DG69" s="54"/>
      <c r="DH69" s="54"/>
      <c r="DI69" s="54"/>
      <c r="DJ69" s="54"/>
      <c r="DK69" s="54"/>
      <c r="DL69" s="54"/>
      <c r="DN69" s="45"/>
      <c r="DO69" s="146"/>
      <c r="DP69" s="5"/>
      <c r="DQ69" s="5"/>
      <c r="DW69" s="54"/>
      <c r="DX69" s="54"/>
      <c r="DY69" s="54"/>
      <c r="DZ69" s="54"/>
      <c r="EA69" s="54"/>
      <c r="EB69" s="54"/>
      <c r="EC69" s="54"/>
      <c r="ED69" s="45"/>
      <c r="EE69" s="45"/>
      <c r="EF69" s="146"/>
      <c r="EG69" s="5"/>
      <c r="EH69" s="5"/>
      <c r="EN69" s="63"/>
      <c r="EO69" s="89"/>
      <c r="EP69" s="89"/>
      <c r="ER69" s="220"/>
      <c r="ES69" s="89"/>
      <c r="EV69" s="45"/>
      <c r="FE69" s="53"/>
      <c r="FF69" s="89"/>
      <c r="FH69" s="53"/>
      <c r="FI69" s="54"/>
      <c r="FM69" s="45"/>
      <c r="FU69" s="45"/>
      <c r="FV69" s="45"/>
      <c r="FW69" s="45"/>
      <c r="FX69" s="45"/>
      <c r="FY69" s="63"/>
      <c r="FZ69" s="203"/>
      <c r="GA69" s="152"/>
      <c r="GB69" s="54"/>
      <c r="GC69" s="54"/>
      <c r="GD69" s="54"/>
      <c r="GE69" s="54"/>
      <c r="GF69" s="54"/>
      <c r="GG69" s="54"/>
      <c r="GH69" s="45"/>
      <c r="GI69" s="45"/>
      <c r="GJ69" s="146"/>
      <c r="GK69" s="5"/>
      <c r="GL69" s="5"/>
      <c r="GM69" s="45"/>
      <c r="GR69" s="54"/>
      <c r="GS69" s="54"/>
      <c r="GT69" s="54"/>
      <c r="GU69" s="54"/>
      <c r="GV69" s="54"/>
      <c r="GW69" s="54"/>
      <c r="GX69" s="54"/>
      <c r="GY69" s="45"/>
      <c r="GZ69" s="45"/>
      <c r="HA69" s="45"/>
      <c r="HC69" s="45"/>
      <c r="HD69" s="45"/>
      <c r="HI69" s="54"/>
      <c r="HJ69" s="54"/>
      <c r="HK69" s="54"/>
      <c r="HL69" s="54"/>
      <c r="HM69" s="54"/>
      <c r="HN69" s="54"/>
      <c r="HO69" s="54"/>
      <c r="HP69" s="45"/>
      <c r="HQ69" s="45"/>
      <c r="HR69" s="45"/>
      <c r="HT69" s="45"/>
      <c r="HU69" s="45"/>
      <c r="HZ69" s="63"/>
      <c r="IA69" s="89"/>
      <c r="IB69" s="54"/>
      <c r="ID69" s="89"/>
      <c r="IE69" s="89"/>
      <c r="IH69" s="45"/>
      <c r="IP69" s="63"/>
      <c r="IQ69" s="89"/>
      <c r="IR69" s="89"/>
      <c r="IT69" s="89"/>
      <c r="IU69" s="89"/>
      <c r="IY69" s="45"/>
    </row>
    <row r="70" spans="1:265" s="46" customFormat="1">
      <c r="A70" s="86">
        <v>40</v>
      </c>
      <c r="B70" s="117"/>
      <c r="C70" s="117"/>
      <c r="D70" s="117"/>
      <c r="E70" s="117"/>
      <c r="F70" s="29"/>
      <c r="G70" s="29"/>
      <c r="H70" s="47"/>
      <c r="I70" s="68"/>
      <c r="J70" s="68"/>
      <c r="K70" s="117"/>
      <c r="S70" s="53"/>
      <c r="T70" s="54"/>
      <c r="U70" s="54"/>
      <c r="V70" s="54"/>
      <c r="W70" s="54"/>
      <c r="AO70" s="300"/>
      <c r="AP70" s="300"/>
      <c r="AR70" s="304"/>
      <c r="AS70" s="130"/>
      <c r="AU70" s="45"/>
      <c r="AV70" s="304"/>
      <c r="AW70" s="162"/>
      <c r="AX70" s="162"/>
      <c r="AY70" s="162"/>
      <c r="AZ70" s="162"/>
      <c r="BA70" s="162"/>
      <c r="BB70" s="162"/>
      <c r="BC70" s="45"/>
      <c r="BD70" s="45"/>
      <c r="BE70" s="45"/>
      <c r="BF70" s="45"/>
      <c r="BG70" s="250"/>
      <c r="BH70" s="152"/>
      <c r="BI70" s="54"/>
      <c r="BJ70" s="45"/>
      <c r="BK70" s="45"/>
      <c r="BL70" s="45"/>
      <c r="BM70" s="45"/>
      <c r="BN70" s="45"/>
      <c r="BO70" s="45"/>
      <c r="BP70" s="45"/>
      <c r="BQ70" s="45"/>
      <c r="BR70" s="45"/>
      <c r="BS70" s="45"/>
      <c r="BT70" s="45"/>
      <c r="BU70" s="45"/>
      <c r="BY70" s="5">
        <f t="shared" si="1"/>
        <v>70000</v>
      </c>
      <c r="BZ70" s="5">
        <f t="shared" si="8"/>
        <v>0</v>
      </c>
      <c r="CA70" s="5">
        <f t="shared" si="3"/>
        <v>0</v>
      </c>
      <c r="CB70" s="5">
        <f t="shared" si="0"/>
        <v>0</v>
      </c>
      <c r="CC70" s="5">
        <f t="shared" si="9"/>
        <v>0</v>
      </c>
      <c r="CD70" s="5"/>
      <c r="CE70" s="5">
        <f t="shared" si="5"/>
        <v>0</v>
      </c>
      <c r="CF70" s="5"/>
      <c r="CG70" s="5"/>
      <c r="CI70" s="45"/>
      <c r="CJ70" s="45"/>
      <c r="CK70" s="45"/>
      <c r="CL70" s="45"/>
      <c r="CM70" s="63"/>
      <c r="CN70" s="203"/>
      <c r="CO70" s="152"/>
      <c r="CP70" s="54"/>
      <c r="CQ70" s="54"/>
      <c r="CR70" s="54"/>
      <c r="CS70" s="54"/>
      <c r="CT70" s="54"/>
      <c r="CU70" s="54"/>
      <c r="CV70" s="45"/>
      <c r="CW70" s="45"/>
      <c r="CX70" s="146"/>
      <c r="CY70" s="5"/>
      <c r="CZ70" s="5"/>
      <c r="DF70" s="54"/>
      <c r="DG70" s="54"/>
      <c r="DH70" s="54"/>
      <c r="DI70" s="54"/>
      <c r="DJ70" s="54"/>
      <c r="DK70" s="54"/>
      <c r="DL70" s="54"/>
      <c r="DN70" s="45"/>
      <c r="DO70" s="146"/>
      <c r="DP70" s="5"/>
      <c r="DQ70" s="5"/>
      <c r="DW70" s="54"/>
      <c r="DX70" s="54"/>
      <c r="DY70" s="54"/>
      <c r="DZ70" s="54"/>
      <c r="EA70" s="54"/>
      <c r="EB70" s="54"/>
      <c r="EC70" s="54"/>
      <c r="ED70" s="45"/>
      <c r="EE70" s="45"/>
      <c r="EF70" s="146"/>
      <c r="EG70" s="5"/>
      <c r="EH70" s="5"/>
      <c r="EN70" s="63"/>
      <c r="EO70" s="89"/>
      <c r="EP70" s="89"/>
      <c r="ER70" s="220"/>
      <c r="ES70" s="89"/>
      <c r="EV70" s="45"/>
      <c r="FE70" s="53"/>
      <c r="FF70" s="89"/>
      <c r="FH70" s="53"/>
      <c r="FI70" s="54"/>
      <c r="FM70" s="45"/>
      <c r="FU70" s="45"/>
      <c r="FV70" s="45"/>
      <c r="FW70" s="45"/>
      <c r="FX70" s="45"/>
      <c r="FY70" s="63"/>
      <c r="FZ70" s="203"/>
      <c r="GA70" s="152"/>
      <c r="GB70" s="54"/>
      <c r="GC70" s="54"/>
      <c r="GD70" s="54"/>
      <c r="GE70" s="54"/>
      <c r="GF70" s="54"/>
      <c r="GG70" s="54"/>
      <c r="GH70" s="45"/>
      <c r="GI70" s="45"/>
      <c r="GJ70" s="146"/>
      <c r="GK70" s="5"/>
      <c r="GL70" s="146"/>
      <c r="GM70" s="45"/>
      <c r="GR70" s="54"/>
      <c r="GS70" s="54"/>
      <c r="GT70" s="54"/>
      <c r="GU70" s="54"/>
      <c r="GV70" s="54"/>
      <c r="GW70" s="54"/>
      <c r="GX70" s="54"/>
      <c r="GY70" s="45"/>
      <c r="GZ70" s="45"/>
      <c r="HA70" s="45"/>
      <c r="HC70" s="45"/>
      <c r="HD70" s="45"/>
      <c r="HI70" s="54"/>
      <c r="HJ70" s="54"/>
      <c r="HK70" s="54"/>
      <c r="HL70" s="54"/>
      <c r="HM70" s="54"/>
      <c r="HN70" s="54"/>
      <c r="HO70" s="54"/>
      <c r="HP70" s="45"/>
      <c r="HQ70" s="45"/>
      <c r="HR70" s="45"/>
      <c r="HT70" s="45"/>
      <c r="HU70" s="45"/>
      <c r="HZ70" s="63"/>
      <c r="IA70" s="89"/>
      <c r="IB70" s="54"/>
      <c r="ID70" s="89"/>
      <c r="IE70" s="89"/>
      <c r="IH70" s="45"/>
      <c r="IP70" s="63"/>
      <c r="IQ70" s="89"/>
      <c r="IR70" s="89"/>
      <c r="IT70" s="89"/>
      <c r="IU70" s="89"/>
      <c r="IY70" s="45"/>
    </row>
    <row r="71" spans="1:265">
      <c r="A71" s="86">
        <v>41</v>
      </c>
      <c r="B71" s="117"/>
      <c r="C71" s="117"/>
      <c r="D71" s="117"/>
      <c r="E71" s="117"/>
      <c r="K71" s="117"/>
      <c r="L71" s="45"/>
      <c r="M71" s="46"/>
      <c r="N71" s="46"/>
      <c r="O71" s="45"/>
      <c r="P71" s="46"/>
      <c r="Q71" s="46"/>
      <c r="R71" s="45"/>
      <c r="S71" s="53"/>
      <c r="T71" s="54"/>
      <c r="U71" s="54"/>
      <c r="V71" s="54"/>
      <c r="W71" s="54"/>
      <c r="X71" s="46"/>
      <c r="Y71" s="46"/>
      <c r="Z71" s="46"/>
      <c r="AA71" s="46"/>
      <c r="AB71" s="46"/>
      <c r="AC71" s="46"/>
      <c r="AD71" s="117"/>
      <c r="AE71" s="117"/>
      <c r="AF71" s="117"/>
      <c r="AG71" s="117"/>
      <c r="AH71" s="117"/>
      <c r="AI71" s="117"/>
      <c r="AJ71" s="117"/>
      <c r="AK71" s="117"/>
      <c r="AL71" s="117"/>
      <c r="AM71" s="117"/>
      <c r="AN71" s="117"/>
      <c r="AO71" s="117"/>
      <c r="AP71" s="117"/>
      <c r="AQ71" s="117"/>
      <c r="AR71" s="304"/>
      <c r="AS71" s="130"/>
      <c r="AT71" s="46"/>
      <c r="AU71" s="45"/>
      <c r="AV71" s="304"/>
      <c r="AW71" s="162"/>
      <c r="AX71" s="162"/>
      <c r="AY71" s="162"/>
      <c r="BC71" s="45"/>
      <c r="BD71" s="45"/>
      <c r="BE71" s="45"/>
      <c r="BF71" s="45"/>
      <c r="BG71" s="250"/>
      <c r="BH71" s="152"/>
      <c r="BI71" s="54"/>
      <c r="BJ71" s="45"/>
      <c r="BK71" s="45"/>
      <c r="BL71" s="45"/>
      <c r="BM71" s="45"/>
      <c r="BN71" s="45"/>
      <c r="BO71" s="45"/>
      <c r="BP71" s="45"/>
      <c r="BQ71" s="45"/>
      <c r="BR71" s="45"/>
      <c r="BS71" s="45"/>
      <c r="BT71" s="45"/>
      <c r="BU71" s="45"/>
      <c r="BV71" s="46"/>
      <c r="BW71" s="46"/>
      <c r="BY71" s="5">
        <f t="shared" si="1"/>
        <v>70000</v>
      </c>
      <c r="BZ71" s="5">
        <f t="shared" si="8"/>
        <v>0</v>
      </c>
      <c r="CA71" s="5">
        <f t="shared" si="3"/>
        <v>0</v>
      </c>
      <c r="CB71" s="5">
        <f t="shared" si="0"/>
        <v>0</v>
      </c>
      <c r="CC71" s="5">
        <f t="shared" si="9"/>
        <v>0</v>
      </c>
      <c r="CD71" s="5"/>
      <c r="CE71" s="5">
        <f t="shared" si="5"/>
        <v>0</v>
      </c>
      <c r="CF71" s="5"/>
      <c r="CG71" s="5"/>
      <c r="CH71" s="46"/>
      <c r="CI71" s="45"/>
      <c r="CJ71" s="45"/>
      <c r="CK71" s="45"/>
      <c r="CL71" s="45"/>
      <c r="CM71" s="63"/>
      <c r="CN71" s="203"/>
      <c r="CO71" s="152"/>
      <c r="CP71" s="54"/>
      <c r="CQ71" s="54"/>
      <c r="CR71" s="54"/>
      <c r="CS71" s="54"/>
      <c r="CT71" s="54"/>
      <c r="CU71" s="54"/>
      <c r="CV71" s="45"/>
      <c r="CW71" s="45"/>
      <c r="CX71" s="146"/>
      <c r="CY71" s="277"/>
      <c r="CZ71" s="5"/>
      <c r="DA71" s="46"/>
      <c r="DB71" s="46"/>
      <c r="DC71" s="46"/>
      <c r="DD71" s="46"/>
      <c r="DE71" s="46"/>
      <c r="DF71" s="54"/>
      <c r="DG71" s="54"/>
      <c r="DH71" s="54"/>
      <c r="DI71" s="54"/>
      <c r="DJ71" s="54"/>
      <c r="DK71" s="54"/>
      <c r="DL71" s="54"/>
      <c r="DM71" s="46"/>
      <c r="DN71" s="45"/>
      <c r="DO71" s="146"/>
      <c r="DP71" s="5"/>
      <c r="DQ71" s="5"/>
      <c r="DR71" s="46"/>
      <c r="DS71" s="46"/>
      <c r="DT71" s="46"/>
      <c r="DU71" s="46"/>
      <c r="DV71" s="46"/>
      <c r="DW71" s="54"/>
      <c r="DX71" s="54"/>
      <c r="DY71" s="54"/>
      <c r="DZ71" s="54"/>
      <c r="EA71" s="54"/>
      <c r="EB71" s="54"/>
      <c r="EC71" s="54"/>
      <c r="ED71" s="45"/>
      <c r="EE71" s="45"/>
      <c r="EF71" s="146"/>
      <c r="EG71" s="5"/>
      <c r="EH71" s="5"/>
      <c r="EI71" s="46"/>
      <c r="EJ71" s="46"/>
      <c r="EK71" s="46"/>
      <c r="EL71" s="46"/>
      <c r="EM71" s="46"/>
      <c r="EN71" s="63"/>
      <c r="EO71" s="89"/>
      <c r="EP71" s="89"/>
      <c r="EQ71" s="86"/>
      <c r="ER71" s="89"/>
      <c r="ES71" s="89"/>
      <c r="EV71" s="45"/>
      <c r="EZ71" s="46"/>
      <c r="FA71" s="46"/>
      <c r="FB71" s="46"/>
      <c r="FC71" s="46"/>
      <c r="FE71" s="53"/>
      <c r="FF71" s="89"/>
      <c r="FG71" s="86"/>
      <c r="FH71" s="53"/>
      <c r="FI71" s="54"/>
      <c r="FM71" s="45"/>
      <c r="FP71" s="46"/>
      <c r="FQ71" s="46"/>
      <c r="FR71" s="46"/>
      <c r="FS71" s="46"/>
      <c r="FT71" s="86"/>
      <c r="FU71" s="45"/>
      <c r="FV71" s="45"/>
      <c r="FW71" s="45"/>
      <c r="FX71" s="45"/>
      <c r="FY71" s="63"/>
      <c r="FZ71" s="203"/>
      <c r="GA71" s="152"/>
      <c r="GC71" s="54"/>
      <c r="GD71" s="54"/>
      <c r="GE71" s="54"/>
      <c r="GF71" s="54"/>
      <c r="GG71" s="54"/>
      <c r="GH71" s="45"/>
      <c r="GI71" s="45"/>
      <c r="GJ71" s="146"/>
      <c r="GK71" s="102"/>
      <c r="GL71" s="146"/>
      <c r="GM71" s="45"/>
      <c r="GN71" s="46"/>
      <c r="GO71" s="46"/>
      <c r="GP71" s="46"/>
      <c r="GQ71" s="46"/>
      <c r="GT71" s="54"/>
      <c r="GU71" s="54"/>
      <c r="GV71" s="54"/>
      <c r="GW71" s="54"/>
      <c r="GX71" s="54"/>
      <c r="GY71" s="45"/>
      <c r="GZ71" s="45"/>
      <c r="HA71" s="45"/>
      <c r="HC71" s="45"/>
      <c r="HD71" s="45"/>
      <c r="HE71" s="46"/>
      <c r="HF71" s="46"/>
      <c r="HG71" s="46"/>
      <c r="HH71" s="46"/>
      <c r="HK71" s="54"/>
      <c r="HL71" s="54"/>
      <c r="HM71" s="54"/>
      <c r="HN71" s="54"/>
      <c r="HO71" s="54"/>
      <c r="HP71" s="45"/>
      <c r="HQ71" s="45"/>
      <c r="HR71" s="45"/>
      <c r="HT71" s="45"/>
      <c r="HU71" s="45"/>
      <c r="HV71" s="46"/>
      <c r="HW71" s="46"/>
      <c r="HX71" s="46"/>
      <c r="HY71" s="46"/>
      <c r="IA71" s="89"/>
      <c r="IB71" s="54"/>
      <c r="ID71" s="89"/>
      <c r="IE71" s="89"/>
      <c r="IH71" s="45"/>
      <c r="IK71" s="86"/>
      <c r="IL71" s="46"/>
      <c r="IM71" s="46"/>
      <c r="IN71" s="46"/>
      <c r="IO71" s="46"/>
      <c r="IQ71" s="89"/>
      <c r="IR71" s="89"/>
      <c r="IT71" s="89"/>
      <c r="IU71" s="89"/>
      <c r="IY71" s="45"/>
      <c r="JB71" s="46"/>
      <c r="JC71" s="46"/>
      <c r="JD71" s="46"/>
      <c r="JE71" s="46"/>
    </row>
    <row r="72" spans="1:265">
      <c r="A72" s="86">
        <v>42</v>
      </c>
      <c r="B72" s="117"/>
      <c r="C72" s="117"/>
      <c r="D72" s="117"/>
      <c r="E72" s="117"/>
      <c r="K72" s="117"/>
      <c r="L72" s="45"/>
      <c r="M72" s="46"/>
      <c r="N72" s="46"/>
      <c r="O72" s="45"/>
      <c r="P72" s="46"/>
      <c r="Q72" s="46"/>
      <c r="R72" s="45"/>
      <c r="S72" s="53"/>
      <c r="T72" s="54"/>
      <c r="U72" s="54"/>
      <c r="V72" s="54"/>
      <c r="W72" s="54"/>
      <c r="X72" s="46"/>
      <c r="Y72" s="46"/>
      <c r="Z72" s="46"/>
      <c r="AA72" s="46"/>
      <c r="AB72" s="46"/>
      <c r="AC72" s="46"/>
      <c r="AD72" s="117"/>
      <c r="AE72" s="117"/>
      <c r="AF72" s="117"/>
      <c r="AG72" s="117"/>
      <c r="AH72" s="117"/>
      <c r="AI72" s="117"/>
      <c r="AJ72" s="117"/>
      <c r="AK72" s="117"/>
      <c r="AL72" s="117"/>
      <c r="AM72" s="117"/>
      <c r="AN72" s="117"/>
      <c r="AO72" s="117"/>
      <c r="AP72" s="117"/>
      <c r="AQ72" s="117"/>
      <c r="AR72" s="304"/>
      <c r="AS72" s="130"/>
      <c r="AT72" s="46"/>
      <c r="AU72" s="45"/>
      <c r="AV72" s="304"/>
      <c r="AW72" s="162"/>
      <c r="AX72" s="162"/>
      <c r="AY72" s="162"/>
      <c r="BC72" s="45"/>
      <c r="BD72" s="45"/>
      <c r="BE72" s="45"/>
      <c r="BF72" s="45"/>
      <c r="BG72" s="250"/>
      <c r="BH72" s="152"/>
      <c r="BI72" s="54"/>
      <c r="BJ72" s="45"/>
      <c r="BK72" s="45"/>
      <c r="BL72" s="45"/>
      <c r="BM72" s="45"/>
      <c r="BN72" s="45"/>
      <c r="BO72" s="45"/>
      <c r="BP72" s="45"/>
      <c r="BQ72" s="45"/>
      <c r="BR72" s="45"/>
      <c r="BS72" s="45"/>
      <c r="BT72" s="45"/>
      <c r="BU72" s="45"/>
      <c r="BV72" s="46"/>
      <c r="BW72" s="46"/>
      <c r="BY72" s="5">
        <f t="shared" si="1"/>
        <v>70000</v>
      </c>
      <c r="BZ72" s="5">
        <f t="shared" si="8"/>
        <v>0</v>
      </c>
      <c r="CA72" s="5">
        <f t="shared" si="3"/>
        <v>0</v>
      </c>
      <c r="CB72" s="5">
        <f t="shared" si="0"/>
        <v>0</v>
      </c>
      <c r="CC72" s="5">
        <f t="shared" si="9"/>
        <v>0</v>
      </c>
      <c r="CD72" s="5"/>
      <c r="CE72" s="5">
        <f t="shared" si="5"/>
        <v>0</v>
      </c>
      <c r="CF72" s="5"/>
      <c r="CG72" s="5"/>
      <c r="CH72" s="46"/>
      <c r="CI72" s="45"/>
      <c r="CJ72" s="45"/>
      <c r="CK72" s="45"/>
      <c r="CL72" s="45"/>
      <c r="CM72" s="63"/>
      <c r="CN72" s="203"/>
      <c r="CO72" s="152"/>
      <c r="CP72" s="54"/>
      <c r="CQ72" s="54"/>
      <c r="CR72" s="54"/>
      <c r="CS72" s="54"/>
      <c r="CT72" s="54"/>
      <c r="CU72" s="54"/>
      <c r="CV72" s="45"/>
      <c r="CW72" s="45"/>
      <c r="CX72" s="146"/>
      <c r="CY72" s="277"/>
      <c r="CZ72" s="5"/>
      <c r="DA72" s="46"/>
      <c r="DB72" s="46"/>
      <c r="DC72" s="46"/>
      <c r="DD72" s="46"/>
      <c r="DE72" s="46"/>
      <c r="DF72" s="54"/>
      <c r="DG72" s="54"/>
      <c r="DH72" s="54"/>
      <c r="DI72" s="54"/>
      <c r="DJ72" s="54"/>
      <c r="DK72" s="54"/>
      <c r="DL72" s="54"/>
      <c r="DM72" s="46"/>
      <c r="DN72" s="45"/>
      <c r="DO72" s="146"/>
      <c r="DP72" s="5"/>
      <c r="DQ72" s="5"/>
      <c r="DR72" s="46"/>
      <c r="DS72" s="46"/>
      <c r="DT72" s="46"/>
      <c r="DU72" s="46"/>
      <c r="DV72" s="46"/>
      <c r="DW72" s="54"/>
      <c r="DX72" s="54"/>
      <c r="DY72" s="54"/>
      <c r="DZ72" s="54"/>
      <c r="EA72" s="54"/>
      <c r="EB72" s="54"/>
      <c r="EC72" s="54"/>
      <c r="ED72" s="45"/>
      <c r="EE72" s="45"/>
      <c r="EF72" s="146"/>
      <c r="EG72" s="5"/>
      <c r="EH72" s="5"/>
      <c r="EI72" s="46"/>
      <c r="EJ72" s="46"/>
      <c r="EK72" s="46"/>
      <c r="EL72" s="46"/>
      <c r="EM72" s="46"/>
      <c r="EN72" s="63"/>
      <c r="EO72" s="89"/>
      <c r="EP72" s="89"/>
      <c r="EQ72" s="86"/>
      <c r="ER72" s="89"/>
      <c r="ES72" s="89"/>
      <c r="EV72" s="45"/>
      <c r="EZ72" s="46"/>
      <c r="FA72" s="46"/>
      <c r="FB72" s="46"/>
      <c r="FC72" s="46"/>
      <c r="FE72" s="53"/>
      <c r="FF72" s="89"/>
      <c r="FG72" s="86"/>
      <c r="FH72" s="53"/>
      <c r="FI72" s="54"/>
      <c r="FM72" s="45"/>
      <c r="FP72" s="46"/>
      <c r="FQ72" s="46"/>
      <c r="FR72" s="46"/>
      <c r="FS72" s="46"/>
      <c r="FT72" s="86"/>
      <c r="FU72" s="45"/>
      <c r="FV72" s="45"/>
      <c r="FW72" s="45"/>
      <c r="FX72" s="45"/>
      <c r="FY72" s="63"/>
      <c r="FZ72" s="203"/>
      <c r="GA72" s="152"/>
      <c r="GC72" s="54"/>
      <c r="GD72" s="54"/>
      <c r="GE72" s="54"/>
      <c r="GF72" s="54"/>
      <c r="GG72" s="54"/>
      <c r="GH72" s="45"/>
      <c r="GI72" s="45"/>
      <c r="GJ72" s="146"/>
      <c r="GK72" s="102"/>
      <c r="GL72" s="146"/>
      <c r="GM72" s="45"/>
      <c r="GN72" s="46"/>
      <c r="GO72" s="46"/>
      <c r="GP72" s="46"/>
      <c r="GQ72" s="46"/>
      <c r="GT72" s="54"/>
      <c r="GU72" s="54"/>
      <c r="GV72" s="54"/>
      <c r="GW72" s="54"/>
      <c r="GX72" s="54"/>
      <c r="GY72" s="45"/>
      <c r="GZ72" s="45"/>
      <c r="HA72" s="45"/>
      <c r="HC72" s="45"/>
      <c r="HD72" s="45"/>
      <c r="HE72" s="46"/>
      <c r="HF72" s="46"/>
      <c r="HG72" s="46"/>
      <c r="HH72" s="46"/>
      <c r="HK72" s="54"/>
      <c r="HL72" s="54"/>
      <c r="HM72" s="54"/>
      <c r="HN72" s="54"/>
      <c r="HO72" s="54"/>
      <c r="HP72" s="45"/>
      <c r="HQ72" s="45"/>
      <c r="HR72" s="45"/>
      <c r="HT72" s="45"/>
      <c r="HU72" s="45"/>
      <c r="HV72" s="46"/>
      <c r="HW72" s="46"/>
      <c r="HX72" s="46"/>
      <c r="HY72" s="46"/>
      <c r="IA72" s="89"/>
      <c r="IB72" s="54"/>
      <c r="ID72" s="89"/>
      <c r="IE72" s="89"/>
      <c r="IH72" s="45"/>
      <c r="IK72" s="86"/>
      <c r="IL72" s="46"/>
      <c r="IM72" s="46"/>
      <c r="IN72" s="46"/>
      <c r="IO72" s="46"/>
      <c r="IQ72" s="89"/>
      <c r="IR72" s="89"/>
      <c r="IT72" s="89"/>
      <c r="IU72" s="89"/>
      <c r="IY72" s="45"/>
      <c r="JB72" s="46"/>
      <c r="JC72" s="46"/>
      <c r="JD72" s="46"/>
      <c r="JE72" s="46"/>
    </row>
    <row r="73" spans="1:265">
      <c r="A73" s="86">
        <v>43</v>
      </c>
      <c r="B73" s="117"/>
      <c r="C73" s="117"/>
      <c r="D73" s="117"/>
      <c r="E73" s="117"/>
      <c r="K73" s="117"/>
      <c r="L73" s="45"/>
      <c r="M73" s="45"/>
      <c r="N73" s="45"/>
      <c r="O73" s="45"/>
      <c r="P73" s="45"/>
      <c r="Q73" s="45"/>
      <c r="R73" s="45"/>
      <c r="S73" s="53"/>
      <c r="T73" s="117"/>
      <c r="U73" s="74"/>
      <c r="V73" s="74"/>
      <c r="W73" s="74"/>
      <c r="X73" s="46"/>
      <c r="Y73" s="46"/>
      <c r="Z73" s="46"/>
      <c r="AA73" s="46"/>
      <c r="AB73" s="46"/>
      <c r="AC73" s="46"/>
      <c r="AD73" s="117"/>
      <c r="AE73" s="117"/>
      <c r="AF73" s="117"/>
      <c r="AG73" s="117"/>
      <c r="AH73" s="117"/>
      <c r="AI73" s="117"/>
      <c r="AJ73" s="117"/>
      <c r="AK73" s="117"/>
      <c r="AL73" s="117"/>
      <c r="AM73" s="117"/>
      <c r="AN73" s="117"/>
      <c r="AO73" s="117"/>
      <c r="AP73" s="117"/>
      <c r="AQ73" s="117"/>
      <c r="AR73" s="304"/>
      <c r="AS73" s="304"/>
      <c r="AT73" s="45"/>
      <c r="AU73" s="45"/>
      <c r="AV73" s="304"/>
      <c r="AW73" s="162"/>
      <c r="AX73" s="162"/>
      <c r="AY73" s="162"/>
      <c r="BC73" s="45"/>
      <c r="BD73" s="45"/>
      <c r="BE73" s="45"/>
      <c r="BF73" s="45"/>
      <c r="BG73" s="250"/>
      <c r="BH73" s="250"/>
      <c r="BI73" s="54"/>
      <c r="BJ73" s="45"/>
      <c r="BK73" s="45"/>
      <c r="BL73" s="45"/>
      <c r="BM73" s="45"/>
      <c r="BN73" s="45"/>
      <c r="BO73" s="45"/>
      <c r="BP73" s="45"/>
      <c r="BQ73" s="45"/>
      <c r="BR73" s="45"/>
      <c r="BS73" s="45"/>
      <c r="BT73" s="45"/>
      <c r="BU73" s="45"/>
      <c r="BV73" s="45"/>
      <c r="BW73" s="45"/>
      <c r="BY73" s="102"/>
      <c r="BZ73" s="5"/>
      <c r="CA73" s="5"/>
      <c r="CB73" s="5"/>
      <c r="CC73" s="5"/>
      <c r="CD73" s="5"/>
      <c r="CE73" s="5"/>
      <c r="CF73" s="5"/>
      <c r="CG73" s="5"/>
      <c r="CH73" s="46"/>
      <c r="CI73" s="45"/>
      <c r="CJ73" s="45"/>
      <c r="CK73" s="45"/>
      <c r="CL73" s="45"/>
      <c r="CM73" s="63"/>
      <c r="CN73" s="203"/>
      <c r="CO73" s="152"/>
      <c r="CP73" s="54"/>
      <c r="CQ73" s="54"/>
      <c r="CR73" s="54"/>
      <c r="CS73" s="54"/>
      <c r="CT73" s="54"/>
      <c r="CU73" s="54"/>
      <c r="CV73" s="45"/>
      <c r="CW73" s="45"/>
      <c r="CX73" s="146"/>
      <c r="CY73" s="102"/>
      <c r="CZ73" s="146"/>
      <c r="DA73" s="45"/>
      <c r="DB73" s="45"/>
      <c r="DC73" s="45"/>
      <c r="DD73" s="45"/>
      <c r="DE73" s="45"/>
      <c r="DF73" s="54"/>
      <c r="DG73" s="54"/>
      <c r="DH73" s="54"/>
      <c r="DI73" s="54"/>
      <c r="DJ73" s="54"/>
      <c r="DK73" s="54"/>
      <c r="DL73" s="54"/>
      <c r="DM73" s="46"/>
      <c r="DN73" s="45"/>
      <c r="DO73" s="146"/>
      <c r="DP73" s="146"/>
      <c r="DQ73" s="146"/>
      <c r="DR73" s="45"/>
      <c r="DS73" s="45"/>
      <c r="DT73" s="45"/>
      <c r="DU73" s="45"/>
      <c r="DV73" s="45"/>
      <c r="DW73" s="54"/>
      <c r="DX73" s="54"/>
      <c r="DY73" s="54"/>
      <c r="DZ73" s="54"/>
      <c r="EA73" s="54"/>
      <c r="EB73" s="54"/>
      <c r="EC73" s="54"/>
      <c r="ED73" s="45"/>
      <c r="EE73" s="45"/>
      <c r="EF73" s="146"/>
      <c r="EG73" s="146"/>
      <c r="EH73" s="146"/>
      <c r="EI73" s="45"/>
      <c r="EJ73" s="45"/>
      <c r="EK73" s="45"/>
      <c r="EL73" s="45"/>
      <c r="EM73" s="45"/>
      <c r="EN73" s="63"/>
      <c r="EO73" s="89"/>
      <c r="EP73" s="89"/>
      <c r="EQ73" s="86"/>
      <c r="ER73" s="89"/>
      <c r="ES73" s="89"/>
      <c r="EV73" s="45"/>
      <c r="EZ73" s="45"/>
      <c r="FA73" s="45"/>
      <c r="FB73" s="45"/>
      <c r="FC73" s="45"/>
      <c r="FE73" s="53"/>
      <c r="FF73" s="89"/>
      <c r="FG73" s="86"/>
      <c r="FH73" s="53"/>
      <c r="FI73" s="54"/>
      <c r="FM73" s="45"/>
      <c r="FP73" s="45"/>
      <c r="FQ73" s="45"/>
      <c r="FR73" s="45"/>
      <c r="FS73" s="45"/>
      <c r="FT73" s="86"/>
      <c r="FU73" s="45"/>
      <c r="FV73" s="45"/>
      <c r="FW73" s="45"/>
      <c r="FX73" s="45"/>
      <c r="FY73" s="63"/>
      <c r="FZ73" s="203"/>
      <c r="GA73" s="152"/>
      <c r="GC73" s="54"/>
      <c r="GD73" s="54"/>
      <c r="GE73" s="54"/>
      <c r="GF73" s="54"/>
      <c r="GG73" s="54"/>
      <c r="GH73" s="45"/>
      <c r="GI73" s="45"/>
      <c r="GJ73" s="146"/>
      <c r="GK73" s="102"/>
      <c r="GL73" s="146"/>
      <c r="GM73" s="45"/>
      <c r="GN73" s="45"/>
      <c r="GO73" s="45"/>
      <c r="GP73" s="45"/>
      <c r="GQ73" s="45"/>
      <c r="GT73" s="54"/>
      <c r="GU73" s="54"/>
      <c r="GV73" s="54"/>
      <c r="GW73" s="54"/>
      <c r="GX73" s="54"/>
      <c r="GY73" s="45"/>
      <c r="GZ73" s="45"/>
      <c r="HA73" s="45"/>
      <c r="HC73" s="45"/>
      <c r="HD73" s="45"/>
      <c r="HE73" s="45"/>
      <c r="HF73" s="45"/>
      <c r="HG73" s="45"/>
      <c r="HH73" s="45"/>
      <c r="HK73" s="54"/>
      <c r="HL73" s="54"/>
      <c r="HM73" s="54"/>
      <c r="HN73" s="54"/>
      <c r="HO73" s="54"/>
      <c r="HP73" s="45"/>
      <c r="HQ73" s="45"/>
      <c r="HR73" s="45"/>
      <c r="HT73" s="45"/>
      <c r="HU73" s="45"/>
      <c r="HV73" s="45"/>
      <c r="HW73" s="45"/>
      <c r="HX73" s="45"/>
      <c r="HY73" s="45"/>
      <c r="IA73" s="89"/>
      <c r="IB73" s="54"/>
      <c r="ID73" s="89"/>
      <c r="IH73" s="45"/>
      <c r="IK73" s="86"/>
      <c r="IL73" s="45"/>
      <c r="IM73" s="45"/>
      <c r="IN73" s="45"/>
      <c r="IO73" s="45"/>
      <c r="IQ73" s="89"/>
      <c r="IR73" s="89"/>
      <c r="IT73" s="89"/>
      <c r="IU73" s="89"/>
      <c r="IY73" s="45"/>
      <c r="JB73" s="45"/>
      <c r="JC73" s="45"/>
      <c r="JD73" s="45"/>
      <c r="JE73" s="45"/>
    </row>
    <row r="74" spans="1:265">
      <c r="A74" s="86">
        <v>44</v>
      </c>
      <c r="B74" s="117"/>
      <c r="C74" s="117"/>
      <c r="D74" s="117"/>
      <c r="E74" s="117"/>
      <c r="K74" s="117"/>
      <c r="L74" s="45"/>
      <c r="M74" s="45"/>
      <c r="N74" s="45"/>
      <c r="O74" s="45"/>
      <c r="P74" s="45"/>
      <c r="Q74" s="45"/>
      <c r="R74" s="45"/>
      <c r="S74" s="53"/>
      <c r="T74" s="117"/>
      <c r="U74" s="74"/>
      <c r="V74" s="74"/>
      <c r="W74" s="74"/>
      <c r="X74" s="74"/>
      <c r="Y74" s="74"/>
      <c r="Z74" s="74"/>
      <c r="AA74" s="74"/>
      <c r="AB74" s="74"/>
      <c r="AC74" s="117"/>
      <c r="AD74" s="117"/>
      <c r="AE74" s="117"/>
      <c r="AF74" s="117"/>
      <c r="AG74" s="117"/>
      <c r="AH74" s="117"/>
      <c r="AI74" s="117"/>
      <c r="AJ74" s="117"/>
      <c r="AK74" s="117"/>
      <c r="AL74" s="117"/>
      <c r="AM74" s="117"/>
      <c r="AN74" s="117"/>
      <c r="AO74" s="117"/>
      <c r="AP74" s="117"/>
      <c r="AQ74" s="117"/>
      <c r="AR74" s="304"/>
      <c r="AS74" s="304"/>
      <c r="AT74" s="45"/>
      <c r="AU74" s="45"/>
      <c r="AV74" s="304"/>
      <c r="AW74" s="162"/>
      <c r="AX74" s="162"/>
      <c r="AY74" s="162"/>
      <c r="BC74" s="45"/>
      <c r="BD74" s="45"/>
      <c r="BE74" s="45"/>
      <c r="BF74" s="45"/>
      <c r="BG74" s="250"/>
      <c r="BH74" s="250"/>
      <c r="BI74" s="54"/>
      <c r="BJ74" s="45"/>
      <c r="BK74" s="45"/>
      <c r="BL74" s="45"/>
      <c r="BM74" s="45"/>
      <c r="BN74" s="45"/>
      <c r="BO74" s="45"/>
      <c r="BP74" s="45"/>
      <c r="BQ74" s="45"/>
      <c r="BR74" s="45"/>
      <c r="BS74" s="45"/>
      <c r="BT74" s="45"/>
      <c r="BU74" s="45"/>
      <c r="BV74" s="45"/>
      <c r="BW74" s="45"/>
      <c r="BY74" s="102"/>
      <c r="BZ74" s="5"/>
      <c r="CA74" s="5"/>
      <c r="CB74" s="5"/>
      <c r="CC74" s="5"/>
      <c r="CD74" s="5"/>
      <c r="CE74" s="5"/>
      <c r="CF74" s="5"/>
      <c r="CG74" s="5"/>
      <c r="CH74" s="46"/>
      <c r="CI74" s="86"/>
      <c r="CJ74" s="86"/>
      <c r="CM74" s="63"/>
      <c r="CN74" s="203"/>
      <c r="CO74" s="152"/>
      <c r="CP74" s="54"/>
      <c r="CQ74" s="54"/>
      <c r="CR74" s="54"/>
      <c r="CS74" s="54"/>
      <c r="CT74" s="54"/>
      <c r="CU74" s="54"/>
      <c r="CV74" s="86"/>
      <c r="CW74" s="86"/>
      <c r="CX74" s="146"/>
      <c r="CY74" s="102"/>
      <c r="CZ74" s="146"/>
      <c r="DA74" s="45"/>
      <c r="DB74" s="45"/>
      <c r="DC74" s="45"/>
      <c r="DD74" s="45"/>
      <c r="DE74" s="45"/>
      <c r="DF74" s="54"/>
      <c r="DG74" s="54"/>
      <c r="DH74" s="54"/>
      <c r="DI74" s="54"/>
      <c r="DJ74" s="54"/>
      <c r="DK74" s="54"/>
      <c r="DL74" s="54"/>
      <c r="DM74" s="46"/>
      <c r="DN74" s="86"/>
      <c r="DO74" s="102"/>
      <c r="DP74" s="102"/>
      <c r="DQ74" s="102"/>
      <c r="DS74" s="45"/>
      <c r="DT74" s="45"/>
      <c r="DU74" s="45"/>
      <c r="DV74" s="45"/>
      <c r="DW74" s="54"/>
      <c r="DX74" s="54"/>
      <c r="DY74" s="54"/>
      <c r="DZ74" s="54"/>
      <c r="EA74" s="54"/>
      <c r="EB74" s="54"/>
      <c r="EC74" s="54"/>
      <c r="ED74" s="45"/>
      <c r="EE74" s="86"/>
      <c r="EF74" s="102"/>
      <c r="EG74" s="102"/>
      <c r="EH74" s="102"/>
      <c r="EJ74" s="45"/>
      <c r="EK74" s="45"/>
      <c r="EL74" s="45"/>
      <c r="EM74" s="45"/>
      <c r="EN74" s="63"/>
      <c r="EO74" s="89"/>
      <c r="EP74" s="89"/>
      <c r="EQ74" s="86"/>
      <c r="ER74" s="89"/>
      <c r="ES74" s="89"/>
      <c r="EV74" s="45"/>
      <c r="EZ74" s="45"/>
      <c r="FA74" s="45"/>
      <c r="FB74" s="45"/>
      <c r="FC74" s="45"/>
      <c r="FE74" s="53"/>
      <c r="FF74" s="89"/>
      <c r="FG74" s="86"/>
      <c r="FH74" s="53"/>
      <c r="FI74" s="54"/>
      <c r="FM74" s="45"/>
      <c r="FP74" s="45"/>
      <c r="FQ74" s="45"/>
      <c r="FR74" s="45"/>
      <c r="FS74" s="45"/>
      <c r="FT74" s="86"/>
      <c r="FU74" s="45"/>
      <c r="FX74" s="86"/>
      <c r="FY74" s="63"/>
      <c r="FZ74" s="203"/>
      <c r="GA74" s="152"/>
      <c r="GC74" s="54"/>
      <c r="GD74" s="54"/>
      <c r="GE74" s="54"/>
      <c r="GF74" s="54"/>
      <c r="GG74" s="54"/>
      <c r="GJ74" s="102"/>
      <c r="GK74" s="102"/>
      <c r="GL74" s="102"/>
      <c r="GM74" s="45"/>
      <c r="GN74" s="45"/>
      <c r="GO74" s="45"/>
      <c r="GP74" s="45"/>
      <c r="GQ74" s="45"/>
      <c r="GT74" s="54"/>
      <c r="GU74" s="54"/>
      <c r="GV74" s="54"/>
      <c r="GW74" s="54"/>
      <c r="GX74" s="54"/>
      <c r="GY74" s="45"/>
      <c r="GZ74" s="45"/>
      <c r="HA74" s="45"/>
      <c r="HC74" s="45"/>
      <c r="HD74" s="45"/>
      <c r="HE74" s="45"/>
      <c r="HF74" s="45"/>
      <c r="HG74" s="45"/>
      <c r="HH74" s="45"/>
      <c r="HK74" s="54"/>
      <c r="HL74" s="54"/>
      <c r="HM74" s="54"/>
      <c r="HN74" s="54"/>
      <c r="HO74" s="54"/>
      <c r="HP74" s="45"/>
      <c r="HQ74" s="45"/>
      <c r="HR74" s="45"/>
      <c r="HT74" s="45"/>
      <c r="HU74" s="45"/>
      <c r="HV74" s="45"/>
      <c r="HW74" s="45"/>
      <c r="HX74" s="45"/>
      <c r="HY74" s="45"/>
      <c r="IA74" s="89"/>
      <c r="IB74" s="54"/>
      <c r="ID74" s="89"/>
      <c r="IK74" s="86"/>
      <c r="IL74" s="45"/>
      <c r="IM74" s="45"/>
      <c r="IN74" s="45"/>
      <c r="IO74" s="45"/>
      <c r="IQ74" s="89"/>
      <c r="IR74" s="54"/>
      <c r="IT74" s="89"/>
      <c r="IU74" s="89"/>
      <c r="IY74" s="45"/>
      <c r="JB74" s="45"/>
      <c r="JC74" s="45"/>
      <c r="JD74" s="45"/>
      <c r="JE74" s="45"/>
    </row>
    <row r="75" spans="1:265">
      <c r="A75" s="86">
        <v>45</v>
      </c>
      <c r="B75" s="117"/>
      <c r="C75" s="117"/>
      <c r="D75" s="117"/>
      <c r="E75" s="117"/>
      <c r="K75" s="117"/>
      <c r="L75" s="45"/>
      <c r="M75" s="45"/>
      <c r="N75" s="45"/>
      <c r="O75" s="45"/>
      <c r="P75" s="45"/>
      <c r="Q75" s="45"/>
      <c r="R75" s="45"/>
      <c r="S75" s="53"/>
      <c r="T75" s="117"/>
      <c r="U75" s="74"/>
      <c r="V75" s="74"/>
      <c r="W75" s="74"/>
      <c r="X75" s="74"/>
      <c r="Y75" s="74"/>
      <c r="Z75" s="74"/>
      <c r="AA75" s="74"/>
      <c r="AB75" s="74"/>
      <c r="AC75" s="117"/>
      <c r="AD75" s="117"/>
      <c r="AE75" s="117"/>
      <c r="AF75" s="117"/>
      <c r="AG75" s="117"/>
      <c r="AH75" s="117"/>
      <c r="AI75" s="117"/>
      <c r="AJ75" s="117"/>
      <c r="AK75" s="117"/>
      <c r="AL75" s="117"/>
      <c r="AM75" s="117"/>
      <c r="AN75" s="117"/>
      <c r="AO75" s="117"/>
      <c r="AP75" s="117"/>
      <c r="AQ75" s="117"/>
      <c r="AR75" s="304"/>
      <c r="AS75" s="304"/>
      <c r="AT75" s="86"/>
      <c r="AU75" s="162"/>
      <c r="AV75" s="304"/>
      <c r="AW75" s="162"/>
      <c r="AX75" s="162"/>
      <c r="AY75" s="162"/>
      <c r="BB75" s="45"/>
      <c r="BC75" s="45"/>
      <c r="BD75" s="117"/>
      <c r="BE75" s="117"/>
      <c r="BF75" s="250"/>
      <c r="BG75" s="250"/>
      <c r="BH75" s="54"/>
      <c r="BI75" s="45"/>
      <c r="BJ75" s="45"/>
      <c r="BK75" s="45"/>
      <c r="BL75" s="45"/>
      <c r="BM75" s="45"/>
      <c r="BN75" s="45"/>
      <c r="BO75" s="45"/>
      <c r="BP75" s="45"/>
      <c r="BQ75" s="45"/>
      <c r="BR75" s="45"/>
      <c r="BS75" s="45"/>
      <c r="BT75" s="45"/>
      <c r="BU75" s="45"/>
      <c r="BV75" s="45"/>
      <c r="BW75" s="45"/>
      <c r="BX75" s="102"/>
      <c r="BY75" s="5"/>
      <c r="BZ75" s="5"/>
      <c r="CA75" s="5"/>
      <c r="CB75" s="5"/>
      <c r="CC75" s="5"/>
      <c r="CD75" s="5"/>
      <c r="CE75" s="5"/>
      <c r="CF75" s="5"/>
      <c r="CG75" s="46"/>
      <c r="CH75" s="86"/>
      <c r="CI75" s="86"/>
      <c r="CJ75" s="86"/>
      <c r="CL75" s="63"/>
      <c r="CM75" s="203"/>
      <c r="CN75" s="152"/>
      <c r="CO75" s="54"/>
      <c r="CP75" s="54"/>
      <c r="CQ75" s="86"/>
      <c r="CR75" s="45"/>
      <c r="CS75" s="45"/>
      <c r="CT75" s="45"/>
      <c r="CU75" s="45"/>
      <c r="CV75" s="86"/>
      <c r="CW75" s="86"/>
      <c r="CX75" s="86"/>
      <c r="CY75" s="45"/>
      <c r="CZ75" s="45"/>
      <c r="DA75" s="54"/>
      <c r="DB75" s="54"/>
      <c r="DC75" s="54"/>
      <c r="DD75" s="54"/>
      <c r="DE75" s="54"/>
      <c r="DF75" s="54"/>
      <c r="DG75" s="54"/>
      <c r="DH75" s="45"/>
      <c r="DI75" s="45"/>
      <c r="DJ75" s="45"/>
      <c r="DK75" s="45"/>
      <c r="DL75" s="45"/>
      <c r="DN75" s="102"/>
      <c r="DO75" s="102"/>
      <c r="DP75" s="102"/>
      <c r="DR75" s="63"/>
      <c r="DS75" s="54"/>
      <c r="DT75" s="54"/>
      <c r="DU75" s="54"/>
      <c r="DV75" s="54"/>
      <c r="DW75" s="54"/>
      <c r="DX75" s="54"/>
      <c r="DY75" s="45"/>
      <c r="DZ75" s="45"/>
      <c r="EA75" s="45"/>
      <c r="EB75" s="45"/>
      <c r="EC75" s="45"/>
      <c r="EE75" s="102"/>
      <c r="EF75" s="102"/>
      <c r="EG75" s="102"/>
      <c r="EI75" s="63"/>
      <c r="EJ75" s="54"/>
      <c r="EK75" s="54"/>
      <c r="EL75" s="54"/>
      <c r="EM75" s="54"/>
      <c r="EN75" s="89"/>
      <c r="EO75" s="89"/>
      <c r="EQ75" s="89"/>
      <c r="ER75" s="89"/>
      <c r="EU75" s="45"/>
      <c r="EZ75" s="54"/>
      <c r="FA75" s="54"/>
      <c r="FB75" s="54"/>
      <c r="FC75" s="54"/>
      <c r="FD75" s="53"/>
      <c r="FE75" s="89"/>
      <c r="FG75" s="53"/>
      <c r="FH75" s="54"/>
      <c r="FL75" s="45"/>
      <c r="FP75" s="54"/>
      <c r="FQ75" s="54"/>
      <c r="FR75" s="54"/>
      <c r="FS75" s="54"/>
      <c r="FY75" s="203"/>
      <c r="FZ75" s="152"/>
      <c r="GD75" s="45"/>
      <c r="GE75" s="45"/>
      <c r="GF75" s="45"/>
      <c r="GG75" s="45"/>
      <c r="GN75" s="54"/>
      <c r="GO75" s="54"/>
      <c r="GP75" s="54"/>
      <c r="GQ75" s="54"/>
      <c r="GT75" s="45"/>
      <c r="GU75" s="45"/>
      <c r="GV75" s="45"/>
      <c r="GW75" s="45"/>
      <c r="GX75" s="45"/>
      <c r="GY75" s="45"/>
      <c r="GZ75" s="45"/>
      <c r="HB75" s="45"/>
      <c r="HC75" s="45"/>
      <c r="HE75" s="54"/>
      <c r="HF75" s="54"/>
      <c r="HG75" s="54"/>
      <c r="HH75" s="54"/>
      <c r="HK75" s="45"/>
      <c r="HL75" s="45"/>
      <c r="HM75" s="45"/>
      <c r="HN75" s="45"/>
      <c r="HO75" s="45"/>
      <c r="HP75" s="45"/>
      <c r="HQ75" s="45"/>
      <c r="HS75" s="45"/>
      <c r="HT75" s="45"/>
      <c r="HV75" s="54"/>
      <c r="HW75" s="54"/>
      <c r="HX75" s="54"/>
      <c r="HY75" s="54"/>
      <c r="HZ75" s="89"/>
      <c r="IC75" s="89"/>
      <c r="IK75" s="86"/>
      <c r="IL75" s="54"/>
      <c r="IM75" s="54"/>
      <c r="IN75" s="54"/>
      <c r="IO75" s="54"/>
      <c r="IQ75" s="54"/>
      <c r="IS75" s="89"/>
      <c r="IT75" s="89"/>
      <c r="JB75" s="54"/>
      <c r="JC75" s="54"/>
      <c r="JD75" s="54"/>
      <c r="JE75" s="54"/>
    </row>
    <row r="76" spans="1:265">
      <c r="A76" s="86">
        <v>46</v>
      </c>
      <c r="B76" s="117"/>
      <c r="C76" s="117"/>
      <c r="D76" s="117"/>
      <c r="E76" s="117"/>
      <c r="K76" s="117"/>
      <c r="L76" s="45"/>
      <c r="M76" s="45"/>
      <c r="N76" s="45"/>
      <c r="O76" s="45"/>
      <c r="P76" s="45"/>
      <c r="Q76" s="45"/>
      <c r="R76" s="45"/>
      <c r="S76" s="53"/>
      <c r="T76" s="117"/>
      <c r="U76" s="74"/>
      <c r="V76" s="74"/>
      <c r="W76" s="74"/>
      <c r="X76" s="74"/>
      <c r="Y76" s="74"/>
      <c r="Z76" s="74"/>
      <c r="AA76" s="74"/>
      <c r="AB76" s="74"/>
      <c r="AC76" s="117"/>
      <c r="AD76" s="117"/>
      <c r="AE76" s="117"/>
      <c r="AF76" s="117"/>
      <c r="AG76" s="117"/>
      <c r="AH76" s="117"/>
      <c r="AI76" s="117"/>
      <c r="AJ76" s="117"/>
      <c r="AK76" s="117"/>
      <c r="AL76" s="117"/>
      <c r="AM76" s="117"/>
      <c r="AN76" s="117"/>
      <c r="AO76" s="117"/>
      <c r="AP76" s="117"/>
      <c r="AQ76" s="117"/>
      <c r="AR76" s="304"/>
      <c r="AS76" s="304"/>
      <c r="AT76" s="86"/>
      <c r="AU76" s="162"/>
      <c r="AV76" s="304"/>
      <c r="AW76" s="162"/>
      <c r="AX76" s="162"/>
      <c r="AY76" s="162"/>
      <c r="BB76" s="45"/>
      <c r="BC76" s="45"/>
      <c r="BD76" s="117"/>
      <c r="BE76" s="117"/>
      <c r="BF76" s="250"/>
      <c r="BG76" s="250"/>
      <c r="BH76" s="54"/>
      <c r="BI76" s="45"/>
      <c r="BJ76" s="117"/>
      <c r="BK76" s="117"/>
      <c r="BL76" s="117"/>
      <c r="BM76" s="117"/>
      <c r="BN76" s="117"/>
      <c r="BO76" s="117"/>
      <c r="BP76" s="117"/>
      <c r="BQ76" s="117"/>
      <c r="BR76" s="117"/>
      <c r="BS76" s="117"/>
      <c r="BT76" s="117"/>
      <c r="BU76" s="117"/>
      <c r="BV76" s="117"/>
      <c r="BW76" s="117"/>
      <c r="BX76" s="102"/>
      <c r="BY76" s="5"/>
      <c r="BZ76" s="5"/>
      <c r="CA76" s="5"/>
      <c r="CB76" s="5"/>
      <c r="CC76" s="5"/>
      <c r="CD76" s="5"/>
      <c r="CE76" s="5"/>
      <c r="CF76" s="5"/>
      <c r="CG76" s="46"/>
      <c r="CH76" s="86"/>
      <c r="CI76" s="86"/>
      <c r="CJ76" s="86"/>
      <c r="CL76" s="63"/>
      <c r="CM76" s="203"/>
      <c r="CN76" s="152"/>
      <c r="CO76" s="54"/>
      <c r="CP76" s="54"/>
      <c r="CQ76" s="86"/>
      <c r="CR76" s="63"/>
      <c r="CS76" s="63"/>
      <c r="CT76" s="63"/>
      <c r="CU76" s="63"/>
      <c r="CV76" s="86"/>
      <c r="CW76" s="86"/>
      <c r="CX76" s="86"/>
      <c r="CY76" s="45"/>
      <c r="CZ76" s="45"/>
      <c r="DA76" s="54"/>
      <c r="DB76" s="54"/>
      <c r="DC76" s="54"/>
      <c r="DD76" s="54"/>
      <c r="DE76" s="54"/>
      <c r="DF76" s="54"/>
      <c r="DG76" s="54"/>
      <c r="DH76" s="63"/>
      <c r="DI76" s="63"/>
      <c r="DJ76" s="63"/>
      <c r="DK76" s="63"/>
      <c r="DL76" s="63"/>
      <c r="DN76" s="102"/>
      <c r="DO76" s="102"/>
      <c r="DP76" s="102"/>
      <c r="DR76" s="63"/>
      <c r="DS76" s="54"/>
      <c r="DT76" s="54"/>
      <c r="DU76" s="54"/>
      <c r="DV76" s="54"/>
      <c r="DW76" s="54"/>
      <c r="DX76" s="54"/>
      <c r="DY76" s="63"/>
      <c r="DZ76" s="63"/>
      <c r="EA76" s="63"/>
      <c r="EB76" s="63"/>
      <c r="EC76" s="63"/>
      <c r="EE76" s="102"/>
      <c r="EF76" s="102"/>
      <c r="EG76" s="102"/>
      <c r="EI76" s="63"/>
      <c r="EJ76" s="54"/>
      <c r="EK76" s="54"/>
      <c r="EL76" s="54"/>
      <c r="EM76" s="54"/>
      <c r="EN76" s="89"/>
      <c r="EO76" s="89"/>
      <c r="EQ76" s="89"/>
      <c r="ER76" s="89"/>
      <c r="EZ76" s="54"/>
      <c r="FA76" s="54"/>
      <c r="FB76" s="54"/>
      <c r="FC76" s="54"/>
      <c r="FD76" s="53"/>
      <c r="FE76" s="89"/>
      <c r="FG76" s="53"/>
      <c r="FH76" s="54"/>
      <c r="FL76" s="45"/>
      <c r="FP76" s="54"/>
      <c r="FQ76" s="54"/>
      <c r="FR76" s="54"/>
      <c r="FS76" s="54"/>
      <c r="FY76" s="203"/>
      <c r="FZ76" s="152"/>
      <c r="GD76" s="63"/>
      <c r="GE76" s="63"/>
      <c r="GF76" s="63"/>
      <c r="GG76" s="63"/>
      <c r="GN76" s="54"/>
      <c r="GO76" s="54"/>
      <c r="GP76" s="54"/>
      <c r="GQ76" s="54"/>
      <c r="GT76" s="45"/>
      <c r="GU76" s="63"/>
      <c r="GV76" s="63"/>
      <c r="GW76" s="63"/>
      <c r="GX76" s="63"/>
      <c r="GY76" s="45"/>
      <c r="GZ76" s="45"/>
      <c r="HB76" s="45"/>
      <c r="HC76" s="45"/>
      <c r="HE76" s="54"/>
      <c r="HF76" s="54"/>
      <c r="HG76" s="54"/>
      <c r="HH76" s="54"/>
      <c r="HK76" s="45"/>
      <c r="HL76" s="45"/>
      <c r="HM76" s="45"/>
      <c r="HN76" s="45"/>
      <c r="HO76" s="45"/>
      <c r="HP76" s="45"/>
      <c r="HQ76" s="45"/>
      <c r="HS76" s="45"/>
      <c r="HT76" s="45"/>
      <c r="HV76" s="54"/>
      <c r="HW76" s="54"/>
      <c r="HX76" s="54"/>
      <c r="HY76" s="54"/>
      <c r="HZ76" s="89"/>
      <c r="IC76" s="89"/>
      <c r="IK76" s="86"/>
      <c r="IL76" s="54"/>
      <c r="IM76" s="54"/>
      <c r="IN76" s="54"/>
      <c r="IO76" s="54"/>
      <c r="IQ76" s="54"/>
      <c r="IS76" s="89"/>
      <c r="IT76" s="89"/>
      <c r="JB76" s="54"/>
      <c r="JC76" s="54"/>
      <c r="JD76" s="54"/>
      <c r="JE76" s="54"/>
    </row>
    <row r="77" spans="1:265">
      <c r="A77" s="86">
        <v>47</v>
      </c>
      <c r="B77" s="117"/>
      <c r="C77" s="117"/>
      <c r="D77" s="117"/>
      <c r="E77" s="117"/>
      <c r="K77" s="117"/>
      <c r="L77" s="45"/>
      <c r="M77" s="45"/>
      <c r="N77" s="45"/>
      <c r="O77" s="45"/>
      <c r="P77" s="45"/>
      <c r="Q77" s="45"/>
      <c r="R77" s="45"/>
      <c r="S77" s="53"/>
      <c r="T77" s="117"/>
      <c r="U77" s="74"/>
      <c r="V77" s="74"/>
      <c r="W77" s="74"/>
      <c r="X77" s="74"/>
      <c r="Y77" s="74"/>
      <c r="Z77" s="74"/>
      <c r="AA77" s="74"/>
      <c r="AB77" s="74"/>
      <c r="AC77" s="117"/>
      <c r="AD77" s="117"/>
      <c r="AE77" s="117"/>
      <c r="AF77" s="117"/>
      <c r="AG77" s="117"/>
      <c r="AH77" s="117"/>
      <c r="AI77" s="117"/>
      <c r="AJ77" s="117"/>
      <c r="AK77" s="117"/>
      <c r="AL77" s="117"/>
      <c r="AM77" s="117"/>
      <c r="AN77" s="117"/>
      <c r="AO77" s="117"/>
      <c r="AP77" s="117"/>
      <c r="AQ77" s="117"/>
      <c r="AR77" s="304"/>
      <c r="AS77" s="304"/>
      <c r="AT77" s="86"/>
      <c r="AU77" s="162"/>
      <c r="AV77" s="304"/>
      <c r="AW77" s="162"/>
      <c r="AX77" s="162"/>
      <c r="AY77" s="162"/>
      <c r="BB77" s="45"/>
      <c r="BC77" s="45"/>
      <c r="BD77" s="117"/>
      <c r="BE77" s="117"/>
      <c r="BF77" s="250"/>
      <c r="BG77" s="250"/>
      <c r="BH77" s="54"/>
      <c r="BI77" s="117"/>
      <c r="BJ77" s="117"/>
      <c r="BK77" s="117"/>
      <c r="BL77" s="117"/>
      <c r="BM77" s="117"/>
      <c r="BN77" s="117"/>
      <c r="BO77" s="117"/>
      <c r="BP77" s="117"/>
      <c r="BQ77" s="117"/>
      <c r="BR77" s="117"/>
      <c r="BS77" s="117"/>
      <c r="BT77" s="117"/>
      <c r="BU77" s="117"/>
      <c r="BV77" s="117"/>
      <c r="BW77" s="117"/>
      <c r="BX77" s="102"/>
      <c r="BY77" s="5"/>
      <c r="BZ77" s="5"/>
      <c r="CA77" s="5"/>
      <c r="CB77" s="5"/>
      <c r="CC77" s="5"/>
      <c r="CD77" s="5"/>
      <c r="CE77" s="5"/>
      <c r="CF77" s="5"/>
      <c r="CG77" s="46"/>
      <c r="CH77" s="86"/>
      <c r="CI77" s="86"/>
      <c r="CJ77" s="86"/>
      <c r="CL77" s="63"/>
      <c r="CM77" s="203"/>
      <c r="CN77" s="152"/>
      <c r="CO77" s="54"/>
      <c r="CP77" s="54"/>
      <c r="CQ77" s="86"/>
      <c r="CR77" s="63"/>
      <c r="CS77" s="63"/>
      <c r="CT77" s="63"/>
      <c r="CU77" s="63"/>
      <c r="CV77" s="86"/>
      <c r="CW77" s="86"/>
      <c r="CX77" s="86"/>
      <c r="DA77" s="54"/>
      <c r="DB77" s="54"/>
      <c r="DC77" s="54"/>
      <c r="DD77" s="54"/>
      <c r="DE77" s="54"/>
      <c r="DF77" s="54"/>
      <c r="DG77" s="54"/>
      <c r="DH77" s="63"/>
      <c r="DI77" s="63"/>
      <c r="DJ77" s="63"/>
      <c r="DK77" s="63"/>
      <c r="DL77" s="63"/>
      <c r="DN77" s="102"/>
      <c r="DO77" s="102"/>
      <c r="DP77" s="102"/>
      <c r="DR77" s="63"/>
      <c r="DS77" s="54"/>
      <c r="DT77" s="54"/>
      <c r="DU77" s="54"/>
      <c r="DV77" s="54"/>
      <c r="DW77" s="54"/>
      <c r="DX77" s="54"/>
      <c r="DY77" s="63"/>
      <c r="DZ77" s="63"/>
      <c r="EA77" s="63"/>
      <c r="EB77" s="63"/>
      <c r="EC77" s="63"/>
      <c r="EE77" s="102"/>
      <c r="EF77" s="102"/>
      <c r="EG77" s="102"/>
      <c r="EI77" s="63"/>
      <c r="EJ77" s="54"/>
      <c r="EK77" s="54"/>
      <c r="EL77" s="54"/>
      <c r="EM77" s="54"/>
      <c r="EN77" s="89"/>
      <c r="EO77" s="89"/>
      <c r="EQ77" s="89"/>
      <c r="ER77" s="86"/>
      <c r="EZ77" s="54"/>
      <c r="FA77" s="54"/>
      <c r="FB77" s="54"/>
      <c r="FC77" s="54"/>
      <c r="FD77" s="53"/>
      <c r="FE77" s="54"/>
      <c r="FG77" s="53"/>
      <c r="FH77" s="54"/>
      <c r="FP77" s="54"/>
      <c r="FQ77" s="54"/>
      <c r="FR77" s="54"/>
      <c r="FS77" s="54"/>
      <c r="FY77" s="203"/>
      <c r="FZ77" s="152"/>
      <c r="GD77" s="63"/>
      <c r="GE77" s="63"/>
      <c r="GF77" s="63"/>
      <c r="GG77" s="63"/>
      <c r="GN77" s="54"/>
      <c r="GO77" s="54"/>
      <c r="GP77" s="54"/>
      <c r="GQ77" s="54"/>
      <c r="GT77" s="45"/>
      <c r="GU77" s="63"/>
      <c r="GV77" s="63"/>
      <c r="GW77" s="63"/>
      <c r="GX77" s="63"/>
      <c r="GY77" s="45"/>
      <c r="GZ77" s="45"/>
      <c r="HB77" s="45"/>
      <c r="HC77" s="45"/>
      <c r="HE77" s="54"/>
      <c r="HF77" s="54"/>
      <c r="HG77" s="54"/>
      <c r="HH77" s="54"/>
      <c r="HK77" s="45"/>
      <c r="HL77" s="45"/>
      <c r="HM77" s="45"/>
      <c r="HN77" s="45"/>
      <c r="HO77" s="45"/>
      <c r="HP77" s="45"/>
      <c r="HQ77" s="45"/>
      <c r="HS77" s="45"/>
      <c r="HT77" s="45"/>
      <c r="HV77" s="54"/>
      <c r="HW77" s="54"/>
      <c r="HX77" s="54"/>
      <c r="HY77" s="54"/>
      <c r="HZ77" s="89"/>
      <c r="IC77" s="89"/>
      <c r="IK77" s="86"/>
      <c r="IL77" s="54"/>
      <c r="IM77" s="54"/>
      <c r="IN77" s="54"/>
      <c r="IO77" s="54"/>
      <c r="IQ77" s="54"/>
      <c r="IS77" s="89"/>
      <c r="IT77" s="89"/>
      <c r="JB77" s="54"/>
      <c r="JC77" s="54"/>
      <c r="JD77" s="54"/>
      <c r="JE77" s="54"/>
    </row>
    <row r="78" spans="1:265">
      <c r="A78" s="86">
        <v>48</v>
      </c>
      <c r="B78" s="117"/>
      <c r="C78" s="117"/>
      <c r="D78" s="117"/>
      <c r="E78" s="117"/>
      <c r="K78" s="117"/>
      <c r="L78" s="45"/>
      <c r="M78" s="45"/>
      <c r="N78" s="45"/>
      <c r="O78" s="45"/>
      <c r="P78" s="45"/>
      <c r="Q78" s="45"/>
      <c r="R78" s="45"/>
      <c r="S78" s="53"/>
      <c r="T78" s="117"/>
      <c r="U78" s="74"/>
      <c r="V78" s="74"/>
      <c r="W78" s="74"/>
      <c r="X78" s="74"/>
      <c r="Y78" s="74"/>
      <c r="Z78" s="74"/>
      <c r="AA78" s="74"/>
      <c r="AB78" s="74"/>
      <c r="AC78" s="117"/>
      <c r="AD78" s="117"/>
      <c r="AE78" s="117"/>
      <c r="AF78" s="117"/>
      <c r="AG78" s="117"/>
      <c r="AH78" s="117"/>
      <c r="AI78" s="117"/>
      <c r="AJ78" s="117"/>
      <c r="AK78" s="117"/>
      <c r="AL78" s="117"/>
      <c r="AM78" s="117"/>
      <c r="AN78" s="117"/>
      <c r="AO78" s="117"/>
      <c r="AP78" s="117"/>
      <c r="AQ78" s="117"/>
      <c r="AR78" s="304"/>
      <c r="AS78" s="304"/>
      <c r="AT78" s="86"/>
      <c r="AU78" s="162"/>
      <c r="AV78" s="162"/>
      <c r="AW78" s="162"/>
      <c r="AX78" s="162"/>
      <c r="AY78" s="162"/>
      <c r="BB78" s="45"/>
      <c r="BC78" s="45"/>
      <c r="BD78" s="117"/>
      <c r="BE78" s="117"/>
      <c r="BF78" s="99"/>
      <c r="BG78" s="99"/>
      <c r="BH78" s="54"/>
      <c r="BI78" s="117"/>
      <c r="BJ78" s="117"/>
      <c r="BK78" s="117"/>
      <c r="BL78" s="117"/>
      <c r="BM78" s="117"/>
      <c r="BN78" s="117"/>
      <c r="BO78" s="117"/>
      <c r="BP78" s="117"/>
      <c r="BQ78" s="117"/>
      <c r="BR78" s="117"/>
      <c r="BS78" s="117"/>
      <c r="BT78" s="117"/>
      <c r="BU78" s="117"/>
      <c r="BV78" s="117"/>
      <c r="BW78" s="117"/>
      <c r="BX78" s="102"/>
      <c r="BY78" s="5"/>
      <c r="BZ78" s="5"/>
      <c r="CA78" s="5"/>
      <c r="CB78" s="5"/>
      <c r="CC78" s="5"/>
      <c r="CD78" s="5"/>
      <c r="CE78" s="5"/>
      <c r="CF78" s="5"/>
      <c r="CG78" s="46"/>
      <c r="CH78" s="86"/>
      <c r="CI78" s="86"/>
      <c r="CJ78" s="86"/>
      <c r="CL78" s="63"/>
      <c r="CM78" s="203"/>
      <c r="CN78" s="152"/>
      <c r="CO78" s="54"/>
      <c r="CP78" s="54"/>
      <c r="CQ78" s="86"/>
      <c r="CR78" s="63"/>
      <c r="CS78" s="63"/>
      <c r="CT78" s="63"/>
      <c r="CU78" s="63"/>
      <c r="CV78" s="86"/>
      <c r="CW78" s="86"/>
      <c r="CX78" s="86"/>
      <c r="DA78" s="54"/>
      <c r="DB78" s="54"/>
      <c r="DC78" s="54"/>
      <c r="DD78" s="54"/>
      <c r="DE78" s="54"/>
      <c r="DF78" s="54"/>
      <c r="DG78" s="54"/>
      <c r="DH78" s="63"/>
      <c r="DI78" s="63"/>
      <c r="DJ78" s="63"/>
      <c r="DK78" s="63"/>
      <c r="DL78" s="63"/>
      <c r="DN78" s="86"/>
      <c r="DO78" s="86"/>
      <c r="DP78" s="86"/>
      <c r="DR78" s="63"/>
      <c r="DS78" s="54"/>
      <c r="DT78" s="54"/>
      <c r="DU78" s="54"/>
      <c r="DV78" s="54"/>
      <c r="DW78" s="54"/>
      <c r="DX78" s="54"/>
      <c r="DY78" s="63"/>
      <c r="DZ78" s="63"/>
      <c r="EA78" s="63"/>
      <c r="EB78" s="63"/>
      <c r="EC78" s="63"/>
      <c r="EE78" s="86"/>
      <c r="EF78" s="86"/>
      <c r="EG78" s="86"/>
      <c r="EI78" s="63"/>
      <c r="EJ78" s="54"/>
      <c r="EK78" s="54"/>
      <c r="EL78" s="54"/>
      <c r="EM78" s="54"/>
      <c r="EN78" s="89"/>
      <c r="EO78" s="89"/>
      <c r="EQ78" s="89"/>
      <c r="ER78" s="86"/>
      <c r="EZ78" s="54"/>
      <c r="FA78" s="54"/>
      <c r="FB78" s="54"/>
      <c r="FC78" s="54"/>
      <c r="FD78" s="53"/>
      <c r="FE78" s="54"/>
      <c r="FG78" s="53"/>
      <c r="FH78" s="54"/>
      <c r="FP78" s="54"/>
      <c r="FQ78" s="54"/>
      <c r="FR78" s="54"/>
      <c r="FS78" s="54"/>
      <c r="FY78" s="203"/>
      <c r="FZ78" s="152"/>
      <c r="GD78" s="63"/>
      <c r="GE78" s="63"/>
      <c r="GF78" s="63"/>
      <c r="GG78" s="63"/>
      <c r="GN78" s="54"/>
      <c r="GO78" s="54"/>
      <c r="GP78" s="54"/>
      <c r="GQ78" s="54"/>
      <c r="GT78" s="45"/>
      <c r="GU78" s="63"/>
      <c r="GV78" s="63"/>
      <c r="GW78" s="63"/>
      <c r="GX78" s="63"/>
      <c r="GY78" s="45"/>
      <c r="HB78" s="45"/>
      <c r="HE78" s="54"/>
      <c r="HF78" s="54"/>
      <c r="HG78" s="54"/>
      <c r="HH78" s="54"/>
      <c r="HK78" s="45"/>
      <c r="HL78" s="45"/>
      <c r="HM78" s="45"/>
      <c r="HN78" s="45"/>
      <c r="HO78" s="45"/>
      <c r="HP78" s="45"/>
      <c r="HS78" s="45"/>
      <c r="HV78" s="54"/>
      <c r="HW78" s="54"/>
      <c r="HX78" s="54"/>
      <c r="HY78" s="54"/>
      <c r="HZ78" s="89"/>
      <c r="IC78" s="89"/>
      <c r="IK78" s="86"/>
      <c r="IL78" s="54"/>
      <c r="IM78" s="54"/>
      <c r="IN78" s="54"/>
      <c r="IO78" s="54"/>
      <c r="IQ78" s="54"/>
      <c r="IS78" s="89"/>
      <c r="IT78" s="89"/>
      <c r="JB78" s="54"/>
      <c r="JC78" s="54"/>
      <c r="JD78" s="54"/>
      <c r="JE78" s="54"/>
    </row>
    <row r="79" spans="1:265">
      <c r="A79" s="86">
        <v>49</v>
      </c>
      <c r="B79" s="117"/>
      <c r="C79" s="117"/>
      <c r="D79" s="117"/>
      <c r="E79" s="117"/>
      <c r="K79" s="117"/>
      <c r="L79" s="45"/>
      <c r="M79" s="45"/>
      <c r="N79" s="45"/>
      <c r="O79" s="45"/>
      <c r="P79" s="45"/>
      <c r="Q79" s="45"/>
      <c r="R79" s="45"/>
      <c r="S79" s="53"/>
      <c r="T79" s="117"/>
      <c r="U79" s="74"/>
      <c r="V79" s="74"/>
      <c r="W79" s="74"/>
      <c r="X79" s="74"/>
      <c r="Y79" s="74"/>
      <c r="Z79" s="74"/>
      <c r="AA79" s="74"/>
      <c r="AB79" s="74"/>
      <c r="AC79" s="117"/>
      <c r="AD79" s="117"/>
      <c r="AE79" s="117"/>
      <c r="AF79" s="117"/>
      <c r="AG79" s="117"/>
      <c r="AH79" s="117"/>
      <c r="AI79" s="117"/>
      <c r="AJ79" s="117"/>
      <c r="AK79" s="117"/>
      <c r="AL79" s="117"/>
      <c r="AM79" s="117"/>
      <c r="AN79" s="117"/>
      <c r="AO79" s="117"/>
      <c r="AP79" s="117"/>
      <c r="AQ79" s="117"/>
      <c r="AR79" s="304"/>
      <c r="AS79" s="304"/>
      <c r="AT79" s="86"/>
      <c r="AU79" s="162"/>
      <c r="AV79" s="162"/>
      <c r="AW79" s="162"/>
      <c r="AX79" s="162"/>
      <c r="AY79" s="162"/>
      <c r="BB79" s="45"/>
      <c r="BC79" s="45"/>
      <c r="BD79" s="117"/>
      <c r="BE79" s="117"/>
      <c r="BF79" s="99"/>
      <c r="BG79" s="99"/>
      <c r="BH79" s="54"/>
      <c r="BI79" s="117"/>
      <c r="BJ79" s="117"/>
      <c r="BK79" s="117"/>
      <c r="BL79" s="117"/>
      <c r="BM79" s="117"/>
      <c r="BN79" s="117"/>
      <c r="BO79" s="117"/>
      <c r="BP79" s="117"/>
      <c r="BQ79" s="117"/>
      <c r="BR79" s="117"/>
      <c r="BS79" s="117"/>
      <c r="BT79" s="117"/>
      <c r="BU79" s="117"/>
      <c r="BV79" s="117"/>
      <c r="BW79" s="117"/>
      <c r="BX79" s="102"/>
      <c r="BY79" s="5"/>
      <c r="BZ79" s="5"/>
      <c r="CA79" s="5"/>
      <c r="CB79" s="5"/>
      <c r="CC79" s="5"/>
      <c r="CD79" s="5"/>
      <c r="CE79" s="5"/>
      <c r="CF79" s="5"/>
      <c r="CG79" s="46"/>
      <c r="CH79" s="86"/>
      <c r="CI79" s="86"/>
      <c r="CJ79" s="86"/>
      <c r="CL79" s="63"/>
      <c r="CM79" s="54"/>
      <c r="CN79" s="152"/>
      <c r="CO79" s="54"/>
      <c r="CP79" s="54"/>
      <c r="CQ79" s="86"/>
      <c r="CR79" s="63"/>
      <c r="CS79" s="63"/>
      <c r="CT79" s="63"/>
      <c r="CU79" s="63"/>
      <c r="CV79" s="86"/>
      <c r="CW79" s="86"/>
      <c r="CX79" s="86"/>
      <c r="DA79" s="54"/>
      <c r="DB79" s="54"/>
      <c r="DC79" s="54"/>
      <c r="DD79" s="54"/>
      <c r="DE79" s="54"/>
      <c r="DF79" s="54"/>
      <c r="DG79" s="54"/>
      <c r="DH79" s="63"/>
      <c r="DI79" s="63"/>
      <c r="DJ79" s="63"/>
      <c r="DK79" s="63"/>
      <c r="DL79" s="63"/>
      <c r="DN79" s="86"/>
      <c r="DO79" s="86"/>
      <c r="DP79" s="86"/>
      <c r="DR79" s="63"/>
      <c r="DS79" s="54"/>
      <c r="DT79" s="54"/>
      <c r="DU79" s="54"/>
      <c r="DV79" s="54"/>
      <c r="DW79" s="54"/>
      <c r="DX79" s="54"/>
      <c r="DY79" s="63"/>
      <c r="DZ79" s="63"/>
      <c r="EA79" s="63"/>
      <c r="EB79" s="63"/>
      <c r="EC79" s="63"/>
      <c r="EE79" s="86"/>
      <c r="EF79" s="86"/>
      <c r="EG79" s="86"/>
      <c r="EI79" s="63"/>
      <c r="EJ79" s="54"/>
      <c r="EK79" s="54"/>
      <c r="EL79" s="54"/>
      <c r="EM79" s="54"/>
      <c r="EN79" s="89"/>
      <c r="EO79" s="89"/>
      <c r="EQ79" s="89"/>
      <c r="ER79" s="86"/>
      <c r="EZ79" s="54"/>
      <c r="FA79" s="54"/>
      <c r="FB79" s="54"/>
      <c r="FC79" s="54"/>
      <c r="FD79" s="53"/>
      <c r="FE79" s="54"/>
      <c r="FG79" s="53"/>
      <c r="FH79" s="54"/>
      <c r="FP79" s="54"/>
      <c r="FQ79" s="54"/>
      <c r="FR79" s="54"/>
      <c r="FS79" s="54"/>
      <c r="FY79" s="203"/>
      <c r="FZ79" s="152"/>
      <c r="GD79" s="63"/>
      <c r="GE79" s="63"/>
      <c r="GF79" s="63"/>
      <c r="GG79" s="63"/>
      <c r="GN79" s="54"/>
      <c r="GO79" s="54"/>
      <c r="GP79" s="54"/>
      <c r="GQ79" s="54"/>
      <c r="GT79" s="45"/>
      <c r="GU79" s="63"/>
      <c r="GV79" s="63"/>
      <c r="GW79" s="63"/>
      <c r="GX79" s="63"/>
      <c r="GY79" s="45"/>
      <c r="HB79" s="45"/>
      <c r="HE79" s="54"/>
      <c r="HF79" s="54"/>
      <c r="HG79" s="54"/>
      <c r="HH79" s="54"/>
      <c r="HK79" s="45"/>
      <c r="HL79" s="45"/>
      <c r="HM79" s="45"/>
      <c r="HN79" s="45"/>
      <c r="HO79" s="45"/>
      <c r="HP79" s="45"/>
      <c r="HS79" s="45"/>
      <c r="HV79" s="54"/>
      <c r="HW79" s="54"/>
      <c r="HX79" s="54"/>
      <c r="HY79" s="54"/>
      <c r="HZ79" s="89"/>
      <c r="IA79" s="86"/>
      <c r="IC79" s="89"/>
      <c r="IL79" s="54"/>
      <c r="IM79" s="54"/>
      <c r="IN79" s="54"/>
      <c r="IO79" s="54"/>
      <c r="IR79" s="89"/>
      <c r="IS79" s="89"/>
      <c r="JB79" s="54"/>
      <c r="JC79" s="54"/>
      <c r="JD79" s="54"/>
      <c r="JE79" s="54"/>
    </row>
    <row r="80" spans="1:265">
      <c r="A80" s="86">
        <v>50</v>
      </c>
      <c r="B80" s="117"/>
      <c r="C80" s="117"/>
      <c r="D80" s="117"/>
      <c r="E80" s="117"/>
      <c r="K80" s="117"/>
      <c r="L80" s="45"/>
      <c r="M80" s="45"/>
      <c r="N80" s="45"/>
      <c r="O80" s="45"/>
      <c r="P80" s="45"/>
      <c r="Q80" s="45"/>
      <c r="R80" s="45"/>
      <c r="S80" s="53"/>
      <c r="T80" s="117"/>
      <c r="U80" s="74"/>
      <c r="V80" s="74"/>
      <c r="W80" s="74"/>
      <c r="X80" s="74"/>
      <c r="Y80" s="74"/>
      <c r="Z80" s="74"/>
      <c r="AA80" s="74"/>
      <c r="AB80" s="74"/>
      <c r="AC80" s="117"/>
      <c r="AD80" s="117"/>
      <c r="AE80" s="117"/>
      <c r="AF80" s="117"/>
      <c r="AG80" s="117"/>
      <c r="AH80" s="117"/>
      <c r="AI80" s="117"/>
      <c r="AJ80" s="117"/>
      <c r="AK80" s="117"/>
      <c r="AL80" s="117"/>
      <c r="AM80" s="117"/>
      <c r="AN80" s="117"/>
      <c r="AO80" s="117"/>
      <c r="AP80" s="117"/>
      <c r="AQ80" s="117"/>
      <c r="AR80" s="304"/>
      <c r="AS80" s="304"/>
      <c r="AT80" s="86"/>
      <c r="AU80" s="162"/>
      <c r="AV80" s="162"/>
      <c r="AW80" s="162"/>
      <c r="AX80" s="162"/>
      <c r="AY80" s="162"/>
      <c r="BB80" s="45"/>
      <c r="BC80" s="45"/>
      <c r="BD80" s="117"/>
      <c r="BE80" s="117"/>
      <c r="BF80" s="99"/>
      <c r="BG80" s="99"/>
      <c r="BH80" s="54"/>
      <c r="BI80" s="117"/>
      <c r="BJ80" s="117"/>
      <c r="BK80" s="117"/>
      <c r="BL80" s="117"/>
      <c r="BM80" s="117"/>
      <c r="BN80" s="117"/>
      <c r="BO80" s="117"/>
      <c r="BP80" s="117"/>
      <c r="BQ80" s="117"/>
      <c r="BR80" s="117"/>
      <c r="BS80" s="117"/>
      <c r="BT80" s="117"/>
      <c r="BU80" s="117"/>
      <c r="BV80" s="117"/>
      <c r="BW80" s="117"/>
      <c r="BX80" s="102"/>
      <c r="BY80" s="102"/>
      <c r="BZ80" s="102"/>
      <c r="CA80" s="102"/>
      <c r="CD80" s="5"/>
      <c r="CE80" s="5"/>
      <c r="CF80" s="5"/>
      <c r="CG80" s="46"/>
      <c r="CH80" s="86"/>
      <c r="CI80" s="86"/>
      <c r="CJ80" s="86"/>
      <c r="CL80" s="63"/>
      <c r="CM80" s="54"/>
      <c r="CN80" s="152"/>
      <c r="CO80" s="54"/>
      <c r="CP80" s="54"/>
      <c r="CQ80" s="86"/>
      <c r="CR80" s="63"/>
      <c r="CS80" s="63"/>
      <c r="CT80" s="63"/>
      <c r="CU80" s="63"/>
      <c r="CV80" s="86"/>
      <c r="CW80" s="86"/>
      <c r="CX80" s="86"/>
      <c r="DA80" s="54"/>
      <c r="DB80" s="54"/>
      <c r="DC80" s="54"/>
      <c r="DD80" s="54"/>
      <c r="DE80" s="54"/>
      <c r="DF80" s="54"/>
      <c r="DG80" s="54"/>
      <c r="DH80" s="63"/>
      <c r="DI80" s="63"/>
      <c r="DJ80" s="63"/>
      <c r="DK80" s="63"/>
      <c r="DL80" s="63"/>
      <c r="DN80" s="86"/>
      <c r="DO80" s="86"/>
      <c r="DP80" s="86"/>
      <c r="DR80" s="63"/>
      <c r="DS80" s="54"/>
      <c r="DT80" s="54"/>
      <c r="DU80" s="54"/>
      <c r="DV80" s="54"/>
      <c r="DW80" s="54"/>
      <c r="DX80" s="54"/>
      <c r="DY80" s="63"/>
      <c r="DZ80" s="63"/>
      <c r="EA80" s="63"/>
      <c r="EB80" s="63"/>
      <c r="EC80" s="63"/>
      <c r="EE80" s="86"/>
      <c r="EF80" s="86"/>
      <c r="EG80" s="86"/>
      <c r="EI80" s="63"/>
      <c r="EJ80" s="54"/>
      <c r="EK80" s="54"/>
      <c r="EL80" s="54"/>
      <c r="EM80" s="54"/>
      <c r="EN80" s="89"/>
      <c r="EO80" s="89"/>
      <c r="EQ80" s="89"/>
      <c r="ER80" s="86"/>
      <c r="EZ80" s="54"/>
      <c r="FA80" s="54"/>
      <c r="FB80" s="54"/>
      <c r="FC80" s="54"/>
      <c r="FD80" s="53"/>
      <c r="FE80" s="54"/>
      <c r="FG80" s="53"/>
      <c r="FH80" s="54"/>
      <c r="FP80" s="54"/>
      <c r="FQ80" s="54"/>
      <c r="FR80" s="54"/>
      <c r="FS80" s="54"/>
      <c r="FY80" s="203"/>
      <c r="FZ80" s="152"/>
      <c r="GD80" s="63"/>
      <c r="GE80" s="63"/>
      <c r="GF80" s="63"/>
      <c r="GG80" s="63"/>
      <c r="GN80" s="54"/>
      <c r="GO80" s="54"/>
      <c r="GP80" s="54"/>
      <c r="GQ80" s="54"/>
      <c r="GT80" s="45"/>
      <c r="GU80" s="63"/>
      <c r="GV80" s="63"/>
      <c r="GW80" s="63"/>
      <c r="GX80" s="63"/>
      <c r="HE80" s="54"/>
      <c r="HF80" s="54"/>
      <c r="HG80" s="54"/>
      <c r="HH80" s="54"/>
      <c r="HK80" s="45"/>
      <c r="HL80" s="45"/>
      <c r="HM80" s="45"/>
      <c r="HN80" s="45"/>
      <c r="HO80" s="45"/>
      <c r="HV80" s="54"/>
      <c r="HW80" s="54"/>
      <c r="HX80" s="54"/>
      <c r="HY80" s="54"/>
      <c r="HZ80" s="89"/>
      <c r="IA80" s="86"/>
      <c r="IC80" s="89"/>
      <c r="IL80" s="54"/>
      <c r="IM80" s="54"/>
      <c r="IN80" s="54"/>
      <c r="IO80" s="54"/>
      <c r="IR80" s="89"/>
      <c r="IS80" s="218"/>
      <c r="JB80" s="54"/>
      <c r="JC80" s="54"/>
      <c r="JD80" s="54"/>
      <c r="JE80" s="54"/>
    </row>
    <row r="81" spans="1:265">
      <c r="A81" s="86">
        <v>51</v>
      </c>
      <c r="B81" s="117"/>
      <c r="C81" s="117"/>
      <c r="D81" s="117"/>
      <c r="E81" s="117"/>
      <c r="K81" s="117"/>
      <c r="L81" s="45"/>
      <c r="M81" s="45"/>
      <c r="N81" s="45"/>
      <c r="O81" s="45"/>
      <c r="P81" s="45"/>
      <c r="Q81" s="45"/>
      <c r="R81" s="45"/>
      <c r="S81" s="53"/>
      <c r="T81" s="117"/>
      <c r="U81" s="74"/>
      <c r="V81" s="74"/>
      <c r="W81" s="74"/>
      <c r="X81" s="74"/>
      <c r="Y81" s="74"/>
      <c r="Z81" s="74"/>
      <c r="AA81" s="74"/>
      <c r="AB81" s="74"/>
      <c r="AC81" s="117"/>
      <c r="AD81" s="117"/>
      <c r="AE81" s="117"/>
      <c r="AF81" s="117"/>
      <c r="AG81" s="117"/>
      <c r="AH81" s="117"/>
      <c r="AI81" s="117"/>
      <c r="AJ81" s="117"/>
      <c r="AK81" s="117"/>
      <c r="AL81" s="117"/>
      <c r="AM81" s="117"/>
      <c r="AN81" s="117"/>
      <c r="AO81" s="117"/>
      <c r="AP81" s="117"/>
      <c r="AQ81" s="117"/>
      <c r="AR81" s="304"/>
      <c r="AS81" s="304"/>
      <c r="AT81" s="86"/>
      <c r="AU81" s="162"/>
      <c r="AV81" s="162"/>
      <c r="AW81" s="162"/>
      <c r="AX81" s="162"/>
      <c r="AY81" s="162"/>
      <c r="BB81" s="45"/>
      <c r="BC81" s="45"/>
      <c r="BD81" s="117"/>
      <c r="BE81" s="117"/>
      <c r="BF81" s="99"/>
      <c r="BG81" s="99"/>
      <c r="BH81" s="54"/>
      <c r="BI81" s="117"/>
      <c r="BJ81" s="117"/>
      <c r="BK81" s="117"/>
      <c r="BL81" s="117"/>
      <c r="BM81" s="117"/>
      <c r="BN81" s="117"/>
      <c r="BO81" s="117"/>
      <c r="BP81" s="117"/>
      <c r="BQ81" s="117"/>
      <c r="BR81" s="117"/>
      <c r="BS81" s="117"/>
      <c r="BT81" s="117"/>
      <c r="BU81" s="117"/>
      <c r="BV81" s="117"/>
      <c r="BW81" s="117"/>
      <c r="BX81" s="102"/>
      <c r="BY81" s="102"/>
      <c r="BZ81" s="102"/>
      <c r="CA81" s="102"/>
      <c r="CD81" s="5"/>
      <c r="CE81" s="5"/>
      <c r="CF81" s="5"/>
      <c r="CG81" s="46"/>
      <c r="CH81" s="86"/>
      <c r="CI81" s="86"/>
      <c r="CJ81" s="86"/>
      <c r="CL81" s="63"/>
      <c r="CM81" s="54"/>
      <c r="CN81" s="152"/>
      <c r="CO81" s="54"/>
      <c r="CP81" s="54"/>
      <c r="CQ81" s="86"/>
      <c r="CR81" s="63"/>
      <c r="CS81" s="63"/>
      <c r="CT81" s="63"/>
      <c r="CU81" s="63"/>
      <c r="CV81" s="86"/>
      <c r="CW81" s="86"/>
      <c r="CX81" s="86"/>
      <c r="DA81" s="54"/>
      <c r="DB81" s="54"/>
      <c r="DC81" s="54"/>
      <c r="DD81" s="54"/>
      <c r="DE81" s="54"/>
      <c r="DF81" s="54"/>
      <c r="DG81" s="54"/>
      <c r="DH81" s="63"/>
      <c r="DI81" s="63"/>
      <c r="DJ81" s="63"/>
      <c r="DK81" s="63"/>
      <c r="DL81" s="63"/>
      <c r="DN81" s="86"/>
      <c r="DO81" s="86"/>
      <c r="DP81" s="86"/>
      <c r="DR81" s="63"/>
      <c r="DS81" s="54"/>
      <c r="DT81" s="54"/>
      <c r="DU81" s="54"/>
      <c r="DV81" s="54"/>
      <c r="DW81" s="54"/>
      <c r="DX81" s="54"/>
      <c r="DY81" s="63"/>
      <c r="DZ81" s="63"/>
      <c r="EA81" s="63"/>
      <c r="EB81" s="63"/>
      <c r="EC81" s="63"/>
      <c r="EE81" s="86"/>
      <c r="EF81" s="86"/>
      <c r="EG81" s="86"/>
      <c r="EI81" s="63"/>
      <c r="EJ81" s="54"/>
      <c r="EK81" s="54"/>
      <c r="EL81" s="54"/>
      <c r="EM81" s="54"/>
      <c r="EN81" s="89"/>
      <c r="EO81" s="89"/>
      <c r="EQ81" s="89"/>
      <c r="ER81" s="86"/>
      <c r="EZ81" s="54"/>
      <c r="FA81" s="54"/>
      <c r="FB81" s="54"/>
      <c r="FC81" s="54"/>
      <c r="FD81" s="53"/>
      <c r="FE81" s="54"/>
      <c r="FG81" s="53"/>
      <c r="FH81" s="54"/>
      <c r="FP81" s="54"/>
      <c r="FQ81" s="54"/>
      <c r="FR81" s="54"/>
      <c r="FS81" s="54"/>
      <c r="FY81" s="203"/>
      <c r="FZ81" s="152"/>
      <c r="GD81" s="63"/>
      <c r="GE81" s="63"/>
      <c r="GF81" s="63"/>
      <c r="GG81" s="63"/>
      <c r="GN81" s="54"/>
      <c r="GO81" s="54"/>
      <c r="GP81" s="54"/>
      <c r="GQ81" s="54"/>
      <c r="GU81" s="63"/>
      <c r="GV81" s="63"/>
      <c r="GW81" s="63"/>
      <c r="GX81" s="63"/>
      <c r="HE81" s="54"/>
      <c r="HF81" s="54"/>
      <c r="HG81" s="54"/>
      <c r="HH81" s="54"/>
      <c r="HV81" s="54"/>
      <c r="HW81" s="54"/>
      <c r="HX81" s="54"/>
      <c r="HY81" s="54"/>
      <c r="HZ81" s="89"/>
      <c r="IA81" s="86"/>
      <c r="IC81" s="89"/>
      <c r="IJ81" s="54"/>
      <c r="IK81" s="86"/>
      <c r="IL81" s="54"/>
      <c r="IM81" s="54"/>
      <c r="IN81" s="54"/>
      <c r="IO81" s="54"/>
      <c r="IS81" s="218"/>
      <c r="JB81" s="54"/>
      <c r="JC81" s="54"/>
      <c r="JD81" s="54"/>
      <c r="JE81" s="54"/>
    </row>
    <row r="82" spans="1:265">
      <c r="A82" s="86">
        <v>52</v>
      </c>
      <c r="B82" s="117"/>
      <c r="C82" s="117"/>
      <c r="D82" s="117"/>
      <c r="E82" s="117"/>
      <c r="K82" s="117"/>
      <c r="L82" s="45"/>
      <c r="M82" s="45"/>
      <c r="N82" s="45"/>
      <c r="O82" s="45"/>
      <c r="P82" s="45"/>
      <c r="Q82" s="45"/>
      <c r="R82" s="45"/>
      <c r="S82" s="53"/>
      <c r="T82" s="117"/>
      <c r="U82" s="74"/>
      <c r="V82" s="74"/>
      <c r="W82" s="74"/>
      <c r="X82" s="74"/>
      <c r="Y82" s="74"/>
      <c r="Z82" s="74"/>
      <c r="AA82" s="74"/>
      <c r="AB82" s="74"/>
      <c r="AC82" s="117"/>
      <c r="AD82" s="117"/>
      <c r="AE82" s="117"/>
      <c r="AF82" s="117"/>
      <c r="AG82" s="117"/>
      <c r="AH82" s="117"/>
      <c r="AI82" s="117"/>
      <c r="AJ82" s="117"/>
      <c r="AK82" s="117"/>
      <c r="AL82" s="117"/>
      <c r="AM82" s="117"/>
      <c r="AN82" s="117"/>
      <c r="AO82" s="117"/>
      <c r="AP82" s="117"/>
      <c r="AQ82" s="117"/>
      <c r="AR82" s="304"/>
      <c r="AS82" s="304"/>
      <c r="AT82" s="86"/>
      <c r="AU82" s="162"/>
      <c r="AV82" s="162"/>
      <c r="AW82" s="162"/>
      <c r="AX82" s="162"/>
      <c r="AY82" s="162"/>
      <c r="BB82" s="45"/>
      <c r="BC82" s="45"/>
      <c r="BD82" s="117"/>
      <c r="BE82" s="117"/>
      <c r="BF82" s="99"/>
      <c r="BG82" s="99"/>
      <c r="BH82" s="54"/>
      <c r="BI82" s="117"/>
      <c r="BJ82" s="117"/>
      <c r="BK82" s="117"/>
      <c r="BL82" s="117"/>
      <c r="BM82" s="117"/>
      <c r="BN82" s="117"/>
      <c r="BO82" s="117"/>
      <c r="BP82" s="117"/>
      <c r="BQ82" s="117"/>
      <c r="BR82" s="117"/>
      <c r="BS82" s="117"/>
      <c r="BT82" s="117"/>
      <c r="BU82" s="117"/>
      <c r="BV82" s="117"/>
      <c r="BW82" s="117"/>
      <c r="BX82" s="102"/>
      <c r="BY82" s="102"/>
      <c r="BZ82" s="102"/>
      <c r="CA82" s="102"/>
      <c r="CD82" s="5"/>
      <c r="CE82" s="5"/>
      <c r="CF82" s="5"/>
      <c r="CG82" s="46"/>
      <c r="CH82" s="86"/>
      <c r="CI82" s="86"/>
      <c r="CJ82" s="86"/>
      <c r="CL82" s="63"/>
      <c r="CM82" s="54"/>
      <c r="CN82" s="152"/>
      <c r="CO82" s="54"/>
      <c r="CP82" s="54"/>
      <c r="CQ82" s="86"/>
      <c r="CR82" s="63"/>
      <c r="CS82" s="63"/>
      <c r="CT82" s="63"/>
      <c r="CU82" s="63"/>
      <c r="CV82" s="86"/>
      <c r="CW82" s="86"/>
      <c r="CX82" s="86"/>
      <c r="DA82" s="54"/>
      <c r="DB82" s="54"/>
      <c r="DC82" s="54"/>
      <c r="DD82" s="54"/>
      <c r="DE82" s="54"/>
      <c r="DF82" s="54"/>
      <c r="DG82" s="54"/>
      <c r="DH82" s="63"/>
      <c r="DI82" s="63"/>
      <c r="DJ82" s="63"/>
      <c r="DK82" s="63"/>
      <c r="DL82" s="63"/>
      <c r="DN82" s="86"/>
      <c r="DO82" s="86"/>
      <c r="DP82" s="86"/>
      <c r="DR82" s="63"/>
      <c r="DS82" s="54"/>
      <c r="DT82" s="54"/>
      <c r="DU82" s="54"/>
      <c r="DV82" s="54"/>
      <c r="DW82" s="54"/>
      <c r="DX82" s="54"/>
      <c r="DY82" s="63"/>
      <c r="DZ82" s="63"/>
      <c r="EA82" s="63"/>
      <c r="EB82" s="63"/>
      <c r="EC82" s="63"/>
      <c r="EE82" s="86"/>
      <c r="EF82" s="86"/>
      <c r="EG82" s="86"/>
      <c r="EI82" s="63"/>
      <c r="EJ82" s="54"/>
      <c r="EK82" s="54"/>
      <c r="EL82" s="54"/>
      <c r="EM82" s="54"/>
      <c r="EN82" s="89"/>
      <c r="EQ82" s="89"/>
      <c r="ER82" s="86"/>
      <c r="EX82" s="54"/>
      <c r="EZ82" s="54"/>
      <c r="FA82" s="54"/>
      <c r="FB82" s="54"/>
      <c r="FC82" s="54"/>
      <c r="FD82" s="53"/>
      <c r="FE82" s="89"/>
      <c r="FG82" s="53"/>
      <c r="FH82" s="253"/>
      <c r="FN82" s="45"/>
      <c r="FP82" s="54"/>
      <c r="FQ82" s="54"/>
      <c r="FR82" s="54"/>
      <c r="FS82" s="54"/>
      <c r="FT82" s="86"/>
      <c r="FV82" s="63"/>
      <c r="FW82" s="152"/>
      <c r="FX82" s="54"/>
      <c r="FZ82" s="152"/>
      <c r="GA82" s="86"/>
      <c r="GB82" s="86"/>
      <c r="GD82" s="63"/>
      <c r="GE82" s="63"/>
      <c r="GF82" s="63"/>
      <c r="GG82" s="63"/>
      <c r="GJ82" s="45"/>
      <c r="GK82" s="54"/>
      <c r="GL82" s="54"/>
      <c r="GN82" s="54"/>
      <c r="GO82" s="54"/>
      <c r="GP82" s="54"/>
      <c r="GQ82" s="54"/>
      <c r="GR82" s="86"/>
      <c r="GS82" s="86"/>
      <c r="GU82" s="63"/>
      <c r="GV82" s="63"/>
      <c r="GW82" s="63"/>
      <c r="GX82" s="63"/>
      <c r="HB82" s="63"/>
      <c r="HC82" s="54"/>
      <c r="HD82" s="86"/>
      <c r="HE82" s="54"/>
      <c r="HF82" s="54"/>
      <c r="HG82" s="54"/>
      <c r="HH82" s="54"/>
      <c r="HI82" s="86"/>
      <c r="HJ82" s="86"/>
      <c r="HS82" s="63"/>
      <c r="HT82" s="54"/>
      <c r="HU82" s="86"/>
      <c r="HV82" s="54"/>
      <c r="HW82" s="54"/>
      <c r="HX82" s="54"/>
      <c r="HY82" s="54"/>
      <c r="HZ82" s="89"/>
      <c r="IA82" s="86"/>
      <c r="IC82" s="89"/>
      <c r="IH82" s="54"/>
      <c r="IJ82" s="89"/>
      <c r="IK82" s="86"/>
      <c r="IL82" s="54"/>
      <c r="IM82" s="54"/>
      <c r="IN82" s="54"/>
      <c r="IO82" s="54"/>
      <c r="IS82" s="218"/>
      <c r="JB82" s="54"/>
      <c r="JC82" s="54"/>
      <c r="JD82" s="54"/>
      <c r="JE82" s="54"/>
    </row>
    <row r="83" spans="1:265">
      <c r="A83" s="86">
        <v>53</v>
      </c>
      <c r="B83" s="117"/>
      <c r="C83" s="117"/>
      <c r="D83" s="117"/>
      <c r="E83" s="117"/>
      <c r="K83" s="117"/>
      <c r="L83" s="45"/>
      <c r="M83" s="45"/>
      <c r="N83" s="45"/>
      <c r="O83" s="45"/>
      <c r="P83" s="45"/>
      <c r="Q83" s="45"/>
      <c r="R83" s="45"/>
      <c r="S83" s="53"/>
      <c r="T83" s="117"/>
      <c r="U83" s="74"/>
      <c r="V83" s="74"/>
      <c r="W83" s="74"/>
      <c r="X83" s="74"/>
      <c r="Y83" s="74"/>
      <c r="Z83" s="74"/>
      <c r="AA83" s="74"/>
      <c r="AB83" s="74"/>
      <c r="AC83" s="117"/>
      <c r="AD83" s="117"/>
      <c r="AE83" s="117"/>
      <c r="AF83" s="117"/>
      <c r="AG83" s="117"/>
      <c r="AH83" s="117"/>
      <c r="AI83" s="117"/>
      <c r="AJ83" s="117"/>
      <c r="AK83" s="117"/>
      <c r="AL83" s="117"/>
      <c r="AM83" s="117"/>
      <c r="AN83" s="117"/>
      <c r="AO83" s="117"/>
      <c r="AP83" s="117"/>
      <c r="AQ83" s="117"/>
      <c r="AR83" s="304"/>
      <c r="AS83" s="304"/>
      <c r="AT83" s="86"/>
      <c r="AU83" s="162"/>
      <c r="AV83" s="162"/>
      <c r="AW83" s="162"/>
      <c r="AX83" s="162"/>
      <c r="AY83" s="162"/>
      <c r="BB83" s="45"/>
      <c r="BC83" s="45"/>
      <c r="BD83" s="117"/>
      <c r="BE83" s="117"/>
      <c r="BF83" s="99"/>
      <c r="BG83" s="99"/>
      <c r="BH83" s="54"/>
      <c r="BI83" s="117"/>
      <c r="BJ83" s="117"/>
      <c r="BK83" s="117"/>
      <c r="BL83" s="117"/>
      <c r="BM83" s="117"/>
      <c r="BN83" s="117"/>
      <c r="BO83" s="117"/>
      <c r="BP83" s="117"/>
      <c r="BQ83" s="117"/>
      <c r="BR83" s="117"/>
      <c r="BS83" s="117"/>
      <c r="BT83" s="117"/>
      <c r="BU83" s="117"/>
      <c r="BV83" s="117"/>
      <c r="BW83" s="117"/>
      <c r="BX83" s="102"/>
      <c r="BY83" s="102"/>
      <c r="BZ83" s="102"/>
      <c r="CA83" s="102"/>
      <c r="CD83" s="5"/>
      <c r="CE83" s="5"/>
      <c r="CF83" s="5"/>
      <c r="CG83" s="46"/>
      <c r="CH83" s="86"/>
      <c r="CI83" s="86"/>
      <c r="CJ83" s="86"/>
      <c r="CL83" s="63"/>
      <c r="CM83" s="54"/>
      <c r="CN83" s="152"/>
      <c r="CO83" s="54"/>
      <c r="CP83" s="54"/>
      <c r="CQ83" s="86"/>
      <c r="CR83" s="63"/>
      <c r="CS83" s="63"/>
      <c r="CT83" s="63"/>
      <c r="CU83" s="63"/>
      <c r="CV83" s="86"/>
      <c r="CW83" s="86"/>
      <c r="CX83" s="86"/>
      <c r="DA83" s="54"/>
      <c r="DB83" s="54"/>
      <c r="DC83" s="54"/>
      <c r="DD83" s="54"/>
      <c r="DE83" s="54"/>
      <c r="DF83" s="54"/>
      <c r="DG83" s="54"/>
      <c r="DH83" s="63"/>
      <c r="DI83" s="63"/>
      <c r="DJ83" s="63"/>
      <c r="DK83" s="63"/>
      <c r="DL83" s="63"/>
      <c r="DN83" s="86"/>
      <c r="DO83" s="86"/>
      <c r="DP83" s="86"/>
      <c r="DR83" s="63"/>
      <c r="DS83" s="54"/>
      <c r="DT83" s="54"/>
      <c r="DU83" s="54"/>
      <c r="DV83" s="54"/>
      <c r="DW83" s="54"/>
      <c r="DX83" s="54"/>
      <c r="DY83" s="63"/>
      <c r="DZ83" s="63"/>
      <c r="EA83" s="63"/>
      <c r="EB83" s="63"/>
      <c r="EC83" s="63"/>
      <c r="EE83" s="86"/>
      <c r="EF83" s="86"/>
      <c r="EG83" s="86"/>
      <c r="EI83" s="63"/>
      <c r="EJ83" s="54"/>
      <c r="EK83" s="54"/>
      <c r="EL83" s="54"/>
      <c r="EM83" s="54"/>
      <c r="EN83" s="89"/>
      <c r="EQ83" s="89"/>
      <c r="ER83" s="86"/>
      <c r="EX83" s="54"/>
      <c r="EZ83" s="54"/>
      <c r="FA83" s="54"/>
      <c r="FB83" s="54"/>
      <c r="FC83" s="54"/>
      <c r="FD83" s="53"/>
      <c r="FG83" s="53"/>
      <c r="FH83" s="253"/>
      <c r="FM83" s="45"/>
      <c r="FP83" s="54"/>
      <c r="FQ83" s="54"/>
      <c r="FR83" s="54"/>
      <c r="FS83" s="54"/>
      <c r="FT83" s="86"/>
      <c r="FU83" s="63"/>
      <c r="FV83" s="152"/>
      <c r="FW83" s="54"/>
      <c r="FX83" s="54"/>
      <c r="FY83" s="86"/>
      <c r="FZ83" s="102"/>
      <c r="GA83" s="86"/>
      <c r="GB83" s="86"/>
      <c r="GD83" s="63"/>
      <c r="GE83" s="63"/>
      <c r="GF83" s="63"/>
      <c r="GG83" s="63"/>
      <c r="GI83" s="45"/>
      <c r="GJ83" s="54"/>
      <c r="GK83" s="54"/>
      <c r="GL83" s="86"/>
      <c r="GN83" s="54"/>
      <c r="GO83" s="54"/>
      <c r="GP83" s="54"/>
      <c r="GQ83" s="54"/>
      <c r="GR83" s="86"/>
      <c r="GS83" s="86"/>
      <c r="GU83" s="63"/>
      <c r="GV83" s="63"/>
      <c r="GW83" s="63"/>
      <c r="GX83" s="63"/>
      <c r="HA83" s="63"/>
      <c r="HB83" s="54"/>
      <c r="HD83" s="86"/>
      <c r="HE83" s="54"/>
      <c r="HF83" s="54"/>
      <c r="HG83" s="54"/>
      <c r="HH83" s="54"/>
      <c r="HI83" s="86"/>
      <c r="HJ83" s="86"/>
      <c r="HR83" s="63"/>
      <c r="HS83" s="54"/>
      <c r="HU83" s="86"/>
      <c r="HV83" s="54"/>
      <c r="HW83" s="54"/>
      <c r="HX83" s="54"/>
      <c r="HY83" s="54"/>
      <c r="HZ83" s="89"/>
      <c r="IA83" s="86"/>
      <c r="IC83" s="89"/>
      <c r="IG83" s="54"/>
      <c r="II83" s="89"/>
      <c r="IK83" s="86"/>
      <c r="IL83" s="54"/>
      <c r="IM83" s="54"/>
      <c r="IN83" s="54"/>
      <c r="IO83" s="54"/>
      <c r="JB83" s="54"/>
      <c r="JC83" s="54"/>
      <c r="JD83" s="54"/>
      <c r="JE83" s="54"/>
    </row>
    <row r="84" spans="1:265">
      <c r="A84" s="86">
        <v>54</v>
      </c>
      <c r="B84" s="117"/>
      <c r="C84" s="117"/>
      <c r="D84" s="117"/>
      <c r="E84" s="117"/>
      <c r="K84" s="117"/>
      <c r="L84" s="45"/>
      <c r="M84" s="45"/>
      <c r="N84" s="45"/>
      <c r="O84" s="45"/>
      <c r="P84" s="45"/>
      <c r="Q84" s="45"/>
      <c r="R84" s="45"/>
      <c r="S84" s="117"/>
      <c r="T84" s="117"/>
      <c r="U84" s="74"/>
      <c r="V84" s="74"/>
      <c r="W84" s="74"/>
      <c r="X84" s="74"/>
      <c r="Y84" s="74"/>
      <c r="Z84" s="74"/>
      <c r="AA84" s="74"/>
      <c r="AB84" s="74"/>
      <c r="AC84" s="117"/>
      <c r="AD84" s="117"/>
      <c r="AE84" s="117"/>
      <c r="AF84" s="117"/>
      <c r="AG84" s="117"/>
      <c r="AH84" s="117"/>
      <c r="AI84" s="117"/>
      <c r="AJ84" s="117"/>
      <c r="AK84" s="117"/>
      <c r="AL84" s="117"/>
      <c r="AM84" s="117"/>
      <c r="AN84" s="117"/>
      <c r="AO84" s="117"/>
      <c r="AP84" s="117"/>
      <c r="AQ84" s="117"/>
      <c r="AR84" s="300"/>
      <c r="AS84" s="300"/>
      <c r="AT84" s="86"/>
      <c r="AU84" s="162"/>
      <c r="AV84" s="162"/>
      <c r="AW84" s="162"/>
      <c r="AX84" s="162"/>
      <c r="AY84" s="162"/>
      <c r="BB84" s="45"/>
      <c r="BC84" s="45"/>
      <c r="BD84" s="117"/>
      <c r="BE84" s="117"/>
      <c r="BF84" s="99"/>
      <c r="BG84" s="99"/>
      <c r="BH84" s="54"/>
      <c r="BI84" s="117"/>
      <c r="BJ84" s="117"/>
      <c r="BK84" s="117"/>
      <c r="BL84" s="117"/>
      <c r="BM84" s="117"/>
      <c r="BN84" s="117"/>
      <c r="BO84" s="117"/>
      <c r="BP84" s="117"/>
      <c r="BQ84" s="117"/>
      <c r="BR84" s="117"/>
      <c r="BS84" s="117"/>
      <c r="BT84" s="117"/>
      <c r="BU84" s="117"/>
      <c r="BV84" s="117"/>
      <c r="BW84" s="117"/>
      <c r="BX84" s="102"/>
      <c r="BY84" s="102"/>
      <c r="BZ84" s="102"/>
      <c r="CA84" s="102"/>
      <c r="CD84" s="5"/>
      <c r="CE84" s="5"/>
      <c r="CF84" s="5"/>
      <c r="CG84" s="46"/>
      <c r="CH84" s="86"/>
      <c r="CI84" s="86"/>
      <c r="CJ84" s="86"/>
      <c r="CL84" s="63"/>
      <c r="CM84" s="54"/>
      <c r="CN84" s="152"/>
      <c r="CO84" s="54"/>
      <c r="CP84" s="54"/>
      <c r="CQ84" s="86"/>
      <c r="CR84" s="63"/>
      <c r="CS84" s="63"/>
      <c r="CT84" s="63"/>
      <c r="CU84" s="63"/>
      <c r="CV84" s="86"/>
      <c r="CW84" s="86"/>
      <c r="CX84" s="86"/>
      <c r="DA84" s="54"/>
      <c r="DB84" s="54"/>
      <c r="DC84" s="54"/>
      <c r="DD84" s="54"/>
      <c r="DE84" s="54"/>
      <c r="DF84" s="54"/>
      <c r="DG84" s="54"/>
      <c r="DH84" s="63"/>
      <c r="DI84" s="63"/>
      <c r="DJ84" s="63"/>
      <c r="DK84" s="63"/>
      <c r="DL84" s="63"/>
      <c r="DN84" s="86"/>
      <c r="DO84" s="86"/>
      <c r="DP84" s="86"/>
      <c r="DR84" s="63"/>
      <c r="DS84" s="54"/>
      <c r="DT84" s="54"/>
      <c r="DU84" s="54"/>
      <c r="DV84" s="54"/>
      <c r="DW84" s="54"/>
      <c r="DX84" s="54"/>
      <c r="DY84" s="63"/>
      <c r="DZ84" s="63"/>
      <c r="EA84" s="63"/>
      <c r="EB84" s="63"/>
      <c r="EC84" s="63"/>
      <c r="EE84" s="86"/>
      <c r="EF84" s="86"/>
      <c r="EG84" s="86"/>
      <c r="EI84" s="63"/>
      <c r="EJ84" s="54"/>
      <c r="EK84" s="54"/>
      <c r="EL84" s="54"/>
      <c r="EM84" s="54"/>
      <c r="EN84" s="89"/>
      <c r="EQ84" s="89"/>
      <c r="ER84" s="86"/>
      <c r="EX84" s="54"/>
      <c r="EZ84" s="54"/>
      <c r="FA84" s="54"/>
      <c r="FB84" s="54"/>
      <c r="FC84" s="54"/>
      <c r="FD84" s="53"/>
      <c r="FG84" s="53"/>
      <c r="FH84" s="253"/>
      <c r="FM84" s="45"/>
      <c r="FP84" s="54"/>
      <c r="FQ84" s="54"/>
      <c r="FR84" s="54"/>
      <c r="FS84" s="54"/>
      <c r="FT84" s="86"/>
      <c r="FU84" s="63"/>
      <c r="FV84" s="152"/>
      <c r="FW84" s="54"/>
      <c r="FX84" s="54"/>
      <c r="FY84" s="86"/>
      <c r="FZ84" s="102"/>
      <c r="GA84" s="86"/>
      <c r="GB84" s="86"/>
      <c r="GD84" s="63"/>
      <c r="GE84" s="63"/>
      <c r="GF84" s="63"/>
      <c r="GG84" s="63"/>
      <c r="GI84" s="45"/>
      <c r="GJ84" s="54"/>
      <c r="GK84" s="54"/>
      <c r="GL84" s="86"/>
      <c r="GN84" s="54"/>
      <c r="GO84" s="54"/>
      <c r="GP84" s="54"/>
      <c r="GQ84" s="54"/>
      <c r="GR84" s="86"/>
      <c r="GS84" s="86"/>
      <c r="GU84" s="63"/>
      <c r="GV84" s="63"/>
      <c r="GW84" s="63"/>
      <c r="GX84" s="63"/>
      <c r="HA84" s="63"/>
      <c r="HB84" s="54"/>
      <c r="HD84" s="86"/>
      <c r="HE84" s="54"/>
      <c r="HF84" s="54"/>
      <c r="HG84" s="54"/>
      <c r="HH84" s="54"/>
      <c r="HI84" s="86"/>
      <c r="HJ84" s="86"/>
      <c r="HR84" s="63"/>
      <c r="HS84" s="54"/>
      <c r="HU84" s="86"/>
      <c r="HV84" s="54"/>
      <c r="HW84" s="54"/>
      <c r="HX84" s="54"/>
      <c r="HY84" s="54"/>
      <c r="HZ84" s="89"/>
      <c r="IA84" s="86"/>
      <c r="IC84" s="89"/>
      <c r="IG84" s="54"/>
      <c r="II84" s="89"/>
      <c r="IK84" s="86"/>
      <c r="IL84" s="54"/>
      <c r="IM84" s="54"/>
      <c r="IN84" s="54"/>
      <c r="IO84" s="54"/>
      <c r="JB84" s="54"/>
      <c r="JC84" s="54"/>
      <c r="JD84" s="54"/>
      <c r="JE84" s="54"/>
    </row>
    <row r="85" spans="1:265">
      <c r="A85" s="86">
        <v>55</v>
      </c>
      <c r="B85" s="117"/>
      <c r="C85" s="117"/>
      <c r="D85" s="117"/>
      <c r="E85" s="117"/>
      <c r="K85" s="117"/>
      <c r="L85" s="45"/>
      <c r="M85" s="45"/>
      <c r="N85" s="45"/>
      <c r="O85" s="45"/>
      <c r="P85" s="45"/>
      <c r="Q85" s="45"/>
      <c r="R85" s="45"/>
      <c r="S85" s="117"/>
      <c r="T85" s="117"/>
      <c r="U85" s="74"/>
      <c r="V85" s="74"/>
      <c r="W85" s="74"/>
      <c r="X85" s="74"/>
      <c r="Y85" s="74"/>
      <c r="Z85" s="74"/>
      <c r="AA85" s="74"/>
      <c r="AB85" s="74"/>
      <c r="AC85" s="117"/>
      <c r="AD85" s="117"/>
      <c r="AE85" s="117"/>
      <c r="AF85" s="117"/>
      <c r="AG85" s="117"/>
      <c r="AH85" s="117"/>
      <c r="AI85" s="117"/>
      <c r="AJ85" s="117"/>
      <c r="AK85" s="117"/>
      <c r="AL85" s="117"/>
      <c r="AM85" s="117"/>
      <c r="AN85" s="117"/>
      <c r="AO85" s="117"/>
      <c r="AP85" s="117"/>
      <c r="AQ85" s="117"/>
      <c r="AR85" s="300"/>
      <c r="AS85" s="300"/>
      <c r="AT85" s="86"/>
      <c r="AU85" s="162"/>
      <c r="AV85" s="162"/>
      <c r="AW85" s="162"/>
      <c r="AX85" s="162"/>
      <c r="AY85" s="162"/>
      <c r="BB85" s="45"/>
      <c r="BC85" s="45"/>
      <c r="BD85" s="117"/>
      <c r="BE85" s="117"/>
      <c r="BF85" s="99"/>
      <c r="BG85" s="99"/>
      <c r="BH85" s="54"/>
      <c r="BI85" s="117"/>
      <c r="BJ85" s="117"/>
      <c r="BK85" s="117"/>
      <c r="BL85" s="117"/>
      <c r="BM85" s="117"/>
      <c r="BN85" s="117"/>
      <c r="BO85" s="117"/>
      <c r="BP85" s="117"/>
      <c r="BQ85" s="117"/>
      <c r="BR85" s="117"/>
      <c r="BS85" s="117"/>
      <c r="BT85" s="117"/>
      <c r="BU85" s="117"/>
      <c r="BV85" s="117"/>
      <c r="BW85" s="117"/>
      <c r="BX85" s="102"/>
      <c r="BY85" s="102"/>
      <c r="BZ85" s="102"/>
      <c r="CA85" s="102"/>
      <c r="CD85" s="5"/>
      <c r="CE85" s="5"/>
      <c r="CF85" s="5"/>
      <c r="CG85" s="46"/>
      <c r="CH85" s="86"/>
      <c r="CI85" s="86"/>
      <c r="CJ85" s="86"/>
      <c r="CL85" s="63"/>
      <c r="CM85" s="54"/>
      <c r="CN85" s="152"/>
      <c r="CO85" s="54"/>
      <c r="CP85" s="54"/>
      <c r="CQ85" s="86"/>
      <c r="CR85" s="63"/>
      <c r="CS85" s="63"/>
      <c r="CT85" s="63"/>
      <c r="CU85" s="63"/>
      <c r="CV85" s="86"/>
      <c r="CW85" s="86"/>
      <c r="CX85" s="86"/>
      <c r="DA85" s="54"/>
      <c r="DB85" s="54"/>
      <c r="DC85" s="54"/>
      <c r="DD85" s="54"/>
      <c r="DE85" s="54"/>
      <c r="DF85" s="54"/>
      <c r="DG85" s="54"/>
      <c r="DH85" s="63"/>
      <c r="DI85" s="63"/>
      <c r="DJ85" s="63"/>
      <c r="DK85" s="63"/>
      <c r="DL85" s="63"/>
      <c r="DN85" s="86"/>
      <c r="DO85" s="86"/>
      <c r="DP85" s="86"/>
      <c r="DR85" s="63"/>
      <c r="DS85" s="54"/>
      <c r="DT85" s="54"/>
      <c r="DU85" s="54"/>
      <c r="DV85" s="54"/>
      <c r="DW85" s="54"/>
      <c r="DX85" s="54"/>
      <c r="DY85" s="63"/>
      <c r="DZ85" s="63"/>
      <c r="EA85" s="63"/>
      <c r="EB85" s="63"/>
      <c r="EC85" s="63"/>
      <c r="EE85" s="86"/>
      <c r="EF85" s="86"/>
      <c r="EG85" s="86"/>
      <c r="EI85" s="63"/>
      <c r="EJ85" s="54"/>
      <c r="EK85" s="54"/>
      <c r="EL85" s="54"/>
      <c r="EM85" s="54"/>
      <c r="EN85" s="89"/>
      <c r="EQ85" s="89"/>
      <c r="ER85" s="86"/>
      <c r="EX85" s="54"/>
      <c r="EZ85" s="54"/>
      <c r="FA85" s="54"/>
      <c r="FB85" s="54"/>
      <c r="FC85" s="54"/>
      <c r="FD85" s="89"/>
      <c r="FG85" s="86"/>
      <c r="FH85" s="253"/>
      <c r="FL85" s="45"/>
      <c r="FP85" s="54"/>
      <c r="FQ85" s="54"/>
      <c r="FR85" s="54"/>
      <c r="FS85" s="54"/>
      <c r="FT85" s="63"/>
      <c r="FU85" s="152"/>
      <c r="FV85" s="54"/>
      <c r="FW85" s="54"/>
      <c r="FX85" s="86"/>
      <c r="FY85" s="86"/>
      <c r="FZ85" s="102"/>
      <c r="GA85" s="86"/>
      <c r="GB85" s="86"/>
      <c r="GD85" s="63"/>
      <c r="GE85" s="63"/>
      <c r="GF85" s="63"/>
      <c r="GG85" s="63"/>
      <c r="GH85" s="45"/>
      <c r="GI85" s="54"/>
      <c r="GJ85" s="54"/>
      <c r="GL85" s="86"/>
      <c r="GN85" s="54"/>
      <c r="GO85" s="54"/>
      <c r="GP85" s="54"/>
      <c r="GQ85" s="54"/>
      <c r="GR85" s="86"/>
      <c r="GS85" s="86"/>
      <c r="GU85" s="63"/>
      <c r="GV85" s="63"/>
      <c r="GW85" s="63"/>
      <c r="GX85" s="63"/>
      <c r="GZ85" s="63"/>
      <c r="HA85" s="54"/>
      <c r="HD85" s="86"/>
      <c r="HE85" s="54"/>
      <c r="HF85" s="54"/>
      <c r="HG85" s="54"/>
      <c r="HH85" s="54"/>
      <c r="HI85" s="86"/>
      <c r="HJ85" s="86"/>
      <c r="HQ85" s="63"/>
      <c r="HR85" s="54"/>
      <c r="HU85" s="86"/>
      <c r="HV85" s="54"/>
      <c r="HW85" s="54"/>
      <c r="HX85" s="54"/>
      <c r="HY85" s="54"/>
      <c r="HZ85" s="89"/>
      <c r="IA85" s="86"/>
      <c r="IF85" s="54"/>
      <c r="IH85" s="89"/>
      <c r="IK85" s="86"/>
      <c r="IL85" s="54"/>
      <c r="IM85" s="54"/>
      <c r="IN85" s="54"/>
      <c r="IO85" s="54"/>
      <c r="JB85" s="54"/>
      <c r="JC85" s="54"/>
      <c r="JD85" s="54"/>
      <c r="JE85" s="54"/>
    </row>
    <row r="86" spans="1:265">
      <c r="A86" s="86">
        <v>56</v>
      </c>
      <c r="B86" s="117"/>
      <c r="C86" s="117"/>
      <c r="D86" s="117"/>
      <c r="E86" s="117"/>
      <c r="K86" s="117"/>
      <c r="L86" s="45"/>
      <c r="M86" s="45"/>
      <c r="N86" s="45"/>
      <c r="O86" s="45"/>
      <c r="P86" s="45"/>
      <c r="Q86" s="45"/>
      <c r="R86" s="45"/>
      <c r="S86" s="117"/>
      <c r="T86" s="117"/>
      <c r="U86" s="74"/>
      <c r="V86" s="74"/>
      <c r="W86" s="74"/>
      <c r="X86" s="74"/>
      <c r="Y86" s="74"/>
      <c r="Z86" s="74"/>
      <c r="AA86" s="74"/>
      <c r="AB86" s="74"/>
      <c r="AC86" s="117"/>
      <c r="AD86" s="117"/>
      <c r="AE86" s="117"/>
      <c r="AF86" s="117"/>
      <c r="AG86" s="117"/>
      <c r="AH86" s="117"/>
      <c r="AI86" s="117"/>
      <c r="AJ86" s="117"/>
      <c r="AK86" s="117"/>
      <c r="AL86" s="117"/>
      <c r="AM86" s="117"/>
      <c r="AN86" s="117"/>
      <c r="AO86" s="117"/>
      <c r="AP86" s="117"/>
      <c r="AQ86" s="117"/>
      <c r="AR86" s="300"/>
      <c r="AS86" s="300"/>
      <c r="AT86" s="86"/>
      <c r="AU86" s="162"/>
      <c r="AV86" s="162"/>
      <c r="AW86" s="162"/>
      <c r="AX86" s="162"/>
      <c r="AY86" s="162"/>
      <c r="BB86" s="45"/>
      <c r="BC86" s="45"/>
      <c r="BD86" s="117"/>
      <c r="BE86" s="117"/>
      <c r="BF86" s="99"/>
      <c r="BG86" s="99"/>
      <c r="BH86" s="54"/>
      <c r="BI86" s="117"/>
      <c r="BJ86" s="117"/>
      <c r="BK86" s="117"/>
      <c r="BL86" s="117"/>
      <c r="BM86" s="117"/>
      <c r="BN86" s="117"/>
      <c r="BO86" s="117"/>
      <c r="BP86" s="117"/>
      <c r="BQ86" s="117"/>
      <c r="BR86" s="117"/>
      <c r="BS86" s="117"/>
      <c r="BT86" s="117"/>
      <c r="BU86" s="117"/>
      <c r="BV86" s="117"/>
      <c r="BW86" s="117"/>
      <c r="BX86" s="102"/>
      <c r="BY86" s="102"/>
      <c r="BZ86" s="102"/>
      <c r="CD86" s="5"/>
      <c r="CE86" s="5"/>
      <c r="CF86" s="5"/>
      <c r="CG86" s="46"/>
      <c r="CH86" s="86"/>
      <c r="CI86" s="86"/>
      <c r="CJ86" s="86"/>
      <c r="CL86" s="63"/>
      <c r="CM86" s="54"/>
      <c r="CN86" s="152"/>
      <c r="CO86" s="54"/>
      <c r="CP86" s="54"/>
      <c r="CQ86" s="86"/>
      <c r="CR86" s="63"/>
      <c r="CS86" s="63"/>
      <c r="CT86" s="63"/>
      <c r="CU86" s="63"/>
      <c r="CV86" s="86"/>
      <c r="CW86" s="86"/>
      <c r="CX86" s="86"/>
      <c r="DA86" s="54"/>
      <c r="DB86" s="54"/>
      <c r="DC86" s="54"/>
      <c r="DD86" s="54"/>
      <c r="DE86" s="54"/>
      <c r="DF86" s="54"/>
      <c r="DG86" s="54"/>
      <c r="DH86" s="63"/>
      <c r="DI86" s="63"/>
      <c r="DJ86" s="63"/>
      <c r="DK86" s="63"/>
      <c r="DL86" s="63"/>
      <c r="DN86" s="86"/>
      <c r="DO86" s="86"/>
      <c r="DP86" s="86"/>
      <c r="DR86" s="63"/>
      <c r="DS86" s="54"/>
      <c r="DT86" s="54"/>
      <c r="DU86" s="54"/>
      <c r="DV86" s="54"/>
      <c r="DW86" s="54"/>
      <c r="DX86" s="54"/>
      <c r="DY86" s="63"/>
      <c r="DZ86" s="63"/>
      <c r="EA86" s="63"/>
      <c r="EB86" s="63"/>
      <c r="EC86" s="63"/>
      <c r="EE86" s="86"/>
      <c r="EF86" s="86"/>
      <c r="EG86" s="86"/>
      <c r="EI86" s="63"/>
      <c r="EJ86" s="54"/>
      <c r="EK86" s="54"/>
      <c r="EL86" s="54"/>
      <c r="EM86" s="54"/>
      <c r="EN86" s="89"/>
      <c r="EQ86" s="89"/>
      <c r="ER86" s="86"/>
      <c r="EX86" s="54"/>
      <c r="EZ86" s="54"/>
      <c r="FA86" s="54"/>
      <c r="FB86" s="54"/>
      <c r="FC86" s="54"/>
      <c r="FD86" s="89"/>
      <c r="FG86" s="86"/>
      <c r="FH86" s="253"/>
      <c r="FL86" s="45"/>
      <c r="FP86" s="54"/>
      <c r="FQ86" s="54"/>
      <c r="FR86" s="54"/>
      <c r="FS86" s="54"/>
      <c r="FT86" s="63"/>
      <c r="FU86" s="152"/>
      <c r="FV86" s="54"/>
      <c r="FW86" s="54"/>
      <c r="FX86" s="86"/>
      <c r="FY86" s="86"/>
      <c r="FZ86" s="102"/>
      <c r="GA86" s="86"/>
      <c r="GB86" s="86"/>
      <c r="GD86" s="63"/>
      <c r="GE86" s="63"/>
      <c r="GF86" s="63"/>
      <c r="GG86" s="63"/>
      <c r="GH86" s="45"/>
      <c r="GI86" s="54"/>
      <c r="GJ86" s="54"/>
      <c r="GL86" s="86"/>
      <c r="GN86" s="54"/>
      <c r="GO86" s="54"/>
      <c r="GP86" s="54"/>
      <c r="GQ86" s="54"/>
      <c r="GR86" s="86"/>
      <c r="GS86" s="86"/>
      <c r="GU86" s="63"/>
      <c r="GV86" s="63"/>
      <c r="GW86" s="63"/>
      <c r="GX86" s="63"/>
      <c r="GZ86" s="63"/>
      <c r="HA86" s="54"/>
      <c r="HD86" s="86"/>
      <c r="HE86" s="54"/>
      <c r="HF86" s="54"/>
      <c r="HG86" s="54"/>
      <c r="HH86" s="54"/>
      <c r="HI86" s="86"/>
      <c r="HJ86" s="86"/>
      <c r="HQ86" s="63"/>
      <c r="HR86" s="54"/>
      <c r="HU86" s="86"/>
      <c r="HV86" s="54"/>
      <c r="HW86" s="54"/>
      <c r="HX86" s="54"/>
      <c r="HY86" s="54"/>
      <c r="HZ86" s="86"/>
      <c r="IA86" s="86"/>
      <c r="IF86" s="54"/>
      <c r="IH86" s="89"/>
      <c r="IK86" s="86"/>
      <c r="IL86" s="54"/>
      <c r="IM86" s="54"/>
      <c r="IN86" s="54"/>
      <c r="IO86" s="54"/>
      <c r="JB86" s="54"/>
      <c r="JC86" s="54"/>
      <c r="JD86" s="54"/>
      <c r="JE86" s="54"/>
    </row>
    <row r="87" spans="1:265">
      <c r="A87" s="86">
        <v>57</v>
      </c>
      <c r="B87" s="117"/>
      <c r="C87" s="117"/>
      <c r="D87" s="117"/>
      <c r="E87" s="117"/>
      <c r="K87" s="117"/>
      <c r="L87" s="45"/>
      <c r="M87" s="45"/>
      <c r="N87" s="45"/>
      <c r="O87" s="45"/>
      <c r="P87" s="45"/>
      <c r="Q87" s="45"/>
      <c r="R87" s="45"/>
      <c r="S87" s="117"/>
      <c r="T87" s="117"/>
      <c r="U87" s="74"/>
      <c r="V87" s="74"/>
      <c r="W87" s="74"/>
      <c r="X87" s="74"/>
      <c r="Y87" s="74"/>
      <c r="Z87" s="74"/>
      <c r="AA87" s="74"/>
      <c r="AB87" s="74"/>
      <c r="AC87" s="117"/>
      <c r="AD87" s="117"/>
      <c r="AE87" s="117"/>
      <c r="AF87" s="117"/>
      <c r="AG87" s="117"/>
      <c r="AH87" s="117"/>
      <c r="AI87" s="117"/>
      <c r="AJ87" s="117"/>
      <c r="AK87" s="117"/>
      <c r="AL87" s="117"/>
      <c r="AM87" s="117"/>
      <c r="AN87" s="117"/>
      <c r="AO87" s="117"/>
      <c r="AP87" s="117"/>
      <c r="AQ87" s="117"/>
      <c r="AR87" s="300"/>
      <c r="AS87" s="300"/>
      <c r="AT87" s="86"/>
      <c r="AU87" s="162"/>
      <c r="AV87" s="162"/>
      <c r="AW87" s="162"/>
      <c r="AX87" s="162"/>
      <c r="AY87" s="162"/>
      <c r="BB87" s="45"/>
      <c r="BC87" s="45"/>
      <c r="BD87" s="117"/>
      <c r="BE87" s="117"/>
      <c r="BF87" s="99"/>
      <c r="BG87" s="99"/>
      <c r="BH87" s="54"/>
      <c r="BI87" s="117"/>
      <c r="BJ87" s="117"/>
      <c r="BK87" s="117"/>
      <c r="BL87" s="117"/>
      <c r="BM87" s="117"/>
      <c r="BN87" s="117"/>
      <c r="BO87" s="117"/>
      <c r="BP87" s="117"/>
      <c r="BQ87" s="117"/>
      <c r="BR87" s="117"/>
      <c r="BS87" s="117"/>
      <c r="BT87" s="117"/>
      <c r="BU87" s="117"/>
      <c r="BV87" s="117"/>
      <c r="BW87" s="117"/>
      <c r="BX87" s="102"/>
      <c r="BY87" s="102"/>
      <c r="BZ87" s="102"/>
      <c r="CD87" s="5"/>
      <c r="CE87" s="5"/>
      <c r="CF87" s="5"/>
      <c r="CG87" s="46"/>
      <c r="CH87" s="86"/>
      <c r="CI87" s="86"/>
      <c r="CJ87" s="86"/>
      <c r="CL87" s="63"/>
      <c r="CM87" s="54"/>
      <c r="CN87" s="152"/>
      <c r="CO87" s="54"/>
      <c r="CP87" s="54"/>
      <c r="CQ87" s="86"/>
      <c r="CR87" s="63"/>
      <c r="CS87" s="63"/>
      <c r="CT87" s="63"/>
      <c r="CU87" s="63"/>
      <c r="CV87" s="86"/>
      <c r="CW87" s="86"/>
      <c r="CX87" s="86"/>
      <c r="DA87" s="54"/>
      <c r="DB87" s="54"/>
      <c r="DC87" s="54"/>
      <c r="DD87" s="54"/>
      <c r="DE87" s="54"/>
      <c r="DF87" s="54"/>
      <c r="DG87" s="54"/>
      <c r="DH87" s="63"/>
      <c r="DI87" s="63"/>
      <c r="DJ87" s="63"/>
      <c r="DK87" s="63"/>
      <c r="DL87" s="63"/>
      <c r="DN87" s="86"/>
      <c r="DO87" s="86"/>
      <c r="DP87" s="86"/>
      <c r="DR87" s="63"/>
      <c r="DS87" s="54"/>
      <c r="DT87" s="54"/>
      <c r="DU87" s="54"/>
      <c r="DV87" s="54"/>
      <c r="DW87" s="54"/>
      <c r="DX87" s="54"/>
      <c r="DY87" s="63"/>
      <c r="DZ87" s="63"/>
      <c r="EA87" s="63"/>
      <c r="EB87" s="63"/>
      <c r="EC87" s="63"/>
      <c r="EE87" s="86"/>
      <c r="EF87" s="86"/>
      <c r="EG87" s="86"/>
      <c r="EI87" s="63"/>
      <c r="EJ87" s="54"/>
      <c r="EK87" s="54"/>
      <c r="EL87" s="54"/>
      <c r="EM87" s="54"/>
      <c r="EN87" s="89"/>
      <c r="EQ87" s="89"/>
      <c r="ER87" s="86"/>
      <c r="EX87" s="54"/>
      <c r="EZ87" s="54"/>
      <c r="FA87" s="54"/>
      <c r="FB87" s="54"/>
      <c r="FC87" s="54"/>
      <c r="FD87" s="89"/>
      <c r="FG87" s="86"/>
      <c r="FH87" s="253"/>
      <c r="FL87" s="45"/>
      <c r="FP87" s="54"/>
      <c r="FQ87" s="54"/>
      <c r="FR87" s="54"/>
      <c r="FS87" s="54"/>
      <c r="FT87" s="63"/>
      <c r="FU87" s="152"/>
      <c r="FV87" s="54"/>
      <c r="FW87" s="54"/>
      <c r="FX87" s="86"/>
      <c r="FY87" s="86"/>
      <c r="FZ87" s="102"/>
      <c r="GA87" s="86"/>
      <c r="GB87" s="86"/>
      <c r="GD87" s="63"/>
      <c r="GE87" s="63"/>
      <c r="GF87" s="63"/>
      <c r="GG87" s="63"/>
      <c r="GH87" s="45"/>
      <c r="GI87" s="54"/>
      <c r="GJ87" s="54"/>
      <c r="GL87" s="86"/>
      <c r="GN87" s="54"/>
      <c r="GO87" s="54"/>
      <c r="GP87" s="54"/>
      <c r="GQ87" s="54"/>
      <c r="GR87" s="86"/>
      <c r="GS87" s="86"/>
      <c r="GU87" s="63"/>
      <c r="GV87" s="63"/>
      <c r="GW87" s="63"/>
      <c r="GX87" s="63"/>
      <c r="GZ87" s="63"/>
      <c r="HA87" s="54"/>
      <c r="HD87" s="86"/>
      <c r="HE87" s="54"/>
      <c r="HF87" s="54"/>
      <c r="HG87" s="54"/>
      <c r="HH87" s="54"/>
      <c r="HI87" s="86"/>
      <c r="HJ87" s="86"/>
      <c r="HQ87" s="63"/>
      <c r="HR87" s="54"/>
      <c r="HU87" s="86"/>
      <c r="HV87" s="54"/>
      <c r="HW87" s="54"/>
      <c r="HX87" s="54"/>
      <c r="HY87" s="54"/>
      <c r="HZ87" s="86"/>
      <c r="IA87" s="86"/>
      <c r="IF87" s="54"/>
      <c r="IH87" s="89"/>
      <c r="IK87" s="86"/>
      <c r="IL87" s="54"/>
      <c r="IM87" s="54"/>
      <c r="IN87" s="54"/>
      <c r="IO87" s="54"/>
      <c r="JB87" s="54"/>
      <c r="JC87" s="54"/>
      <c r="JD87" s="54"/>
      <c r="JE87" s="54"/>
    </row>
    <row r="88" spans="1:265">
      <c r="A88" s="86">
        <v>58</v>
      </c>
      <c r="B88" s="117"/>
      <c r="C88" s="117"/>
      <c r="D88" s="117"/>
      <c r="E88" s="117"/>
      <c r="K88" s="117"/>
      <c r="L88" s="45"/>
      <c r="M88" s="45"/>
      <c r="N88" s="45"/>
      <c r="O88" s="45"/>
      <c r="P88" s="45"/>
      <c r="Q88" s="45"/>
      <c r="R88" s="45"/>
      <c r="S88" s="117"/>
      <c r="T88" s="117"/>
      <c r="U88" s="74"/>
      <c r="V88" s="74"/>
      <c r="W88" s="74"/>
      <c r="X88" s="74"/>
      <c r="Y88" s="74"/>
      <c r="Z88" s="74"/>
      <c r="AA88" s="74"/>
      <c r="AB88" s="74"/>
      <c r="AC88" s="117"/>
      <c r="AD88" s="117"/>
      <c r="AE88" s="117"/>
      <c r="AF88" s="117"/>
      <c r="AG88" s="117"/>
      <c r="AH88" s="117"/>
      <c r="AI88" s="117"/>
      <c r="AJ88" s="117"/>
      <c r="AK88" s="117"/>
      <c r="AL88" s="117"/>
      <c r="AM88" s="117"/>
      <c r="AN88" s="117"/>
      <c r="AO88" s="117"/>
      <c r="AP88" s="117"/>
      <c r="AQ88" s="117"/>
      <c r="AR88" s="300"/>
      <c r="AS88" s="300"/>
      <c r="AT88" s="86"/>
      <c r="AU88" s="162"/>
      <c r="AV88" s="162"/>
      <c r="AW88" s="162"/>
      <c r="AX88" s="162"/>
      <c r="AY88" s="162"/>
      <c r="BB88" s="45"/>
      <c r="BC88" s="45"/>
      <c r="BD88" s="117"/>
      <c r="BE88" s="117"/>
      <c r="BF88" s="99"/>
      <c r="BG88" s="99"/>
      <c r="BH88" s="54"/>
      <c r="BI88" s="117"/>
      <c r="BJ88" s="117"/>
      <c r="BK88" s="117"/>
      <c r="BL88" s="117"/>
      <c r="BM88" s="117"/>
      <c r="BN88" s="117"/>
      <c r="BO88" s="117"/>
      <c r="BP88" s="117"/>
      <c r="BQ88" s="117"/>
      <c r="BR88" s="117"/>
      <c r="BS88" s="117"/>
      <c r="BT88" s="117"/>
      <c r="BU88" s="117"/>
      <c r="BV88" s="117"/>
      <c r="BW88" s="117"/>
      <c r="BX88" s="102"/>
      <c r="BY88" s="102"/>
      <c r="BZ88" s="102"/>
      <c r="CD88" s="5"/>
      <c r="CE88" s="5"/>
      <c r="CF88" s="5"/>
      <c r="CG88" s="46"/>
      <c r="CH88" s="86"/>
      <c r="CI88" s="86"/>
      <c r="CJ88" s="86"/>
      <c r="CL88" s="63"/>
      <c r="CM88" s="54"/>
      <c r="CN88" s="152"/>
      <c r="CO88" s="54"/>
      <c r="CP88" s="54"/>
      <c r="CQ88" s="86"/>
      <c r="CR88" s="63"/>
      <c r="CS88" s="63"/>
      <c r="CT88" s="63"/>
      <c r="CU88" s="63"/>
      <c r="CV88" s="86"/>
      <c r="CW88" s="86"/>
      <c r="CX88" s="86"/>
      <c r="DA88" s="54"/>
      <c r="DB88" s="54"/>
      <c r="DC88" s="54"/>
      <c r="DD88" s="54"/>
      <c r="DE88" s="54"/>
      <c r="DF88" s="54"/>
      <c r="DG88" s="54"/>
      <c r="DH88" s="63"/>
      <c r="DI88" s="63"/>
      <c r="DJ88" s="63"/>
      <c r="DK88" s="63"/>
      <c r="DL88" s="63"/>
      <c r="DN88" s="86"/>
      <c r="DO88" s="86"/>
      <c r="DP88" s="86"/>
      <c r="DR88" s="63"/>
      <c r="DS88" s="54"/>
      <c r="DT88" s="54"/>
      <c r="DU88" s="54"/>
      <c r="DV88" s="54"/>
      <c r="DW88" s="54"/>
      <c r="DX88" s="54"/>
      <c r="DY88" s="63"/>
      <c r="DZ88" s="63"/>
      <c r="EA88" s="63"/>
      <c r="EB88" s="63"/>
      <c r="EC88" s="63"/>
      <c r="EE88" s="86"/>
      <c r="EF88" s="86"/>
      <c r="EG88" s="86"/>
      <c r="EI88" s="63"/>
      <c r="EJ88" s="54"/>
      <c r="EK88" s="54"/>
      <c r="EL88" s="54"/>
      <c r="EM88" s="54"/>
      <c r="EN88" s="89"/>
      <c r="EQ88" s="89"/>
      <c r="ER88" s="86"/>
      <c r="EX88" s="54"/>
      <c r="EZ88" s="54"/>
      <c r="FA88" s="54"/>
      <c r="FB88" s="54"/>
      <c r="FC88" s="54"/>
      <c r="FD88" s="89"/>
      <c r="FG88" s="86"/>
      <c r="FH88" s="253"/>
      <c r="FL88" s="45"/>
      <c r="FP88" s="54"/>
      <c r="FQ88" s="54"/>
      <c r="FR88" s="54"/>
      <c r="FS88" s="54"/>
      <c r="FT88" s="63"/>
      <c r="FU88" s="152"/>
      <c r="FV88" s="54"/>
      <c r="FW88" s="54"/>
      <c r="FX88" s="86"/>
      <c r="FY88" s="86"/>
      <c r="FZ88" s="102"/>
      <c r="GA88" s="86"/>
      <c r="GB88" s="86"/>
      <c r="GD88" s="63"/>
      <c r="GE88" s="63"/>
      <c r="GF88" s="63"/>
      <c r="GG88" s="63"/>
      <c r="GH88" s="45"/>
      <c r="GI88" s="54"/>
      <c r="GJ88" s="54"/>
      <c r="GL88" s="86"/>
      <c r="GN88" s="54"/>
      <c r="GO88" s="54"/>
      <c r="GP88" s="54"/>
      <c r="GQ88" s="54"/>
      <c r="GR88" s="86"/>
      <c r="GS88" s="86"/>
      <c r="GU88" s="63"/>
      <c r="GV88" s="63"/>
      <c r="GW88" s="63"/>
      <c r="GX88" s="63"/>
      <c r="GZ88" s="63"/>
      <c r="HA88" s="54"/>
      <c r="HD88" s="86"/>
      <c r="HE88" s="54"/>
      <c r="HF88" s="54"/>
      <c r="HG88" s="54"/>
      <c r="HH88" s="54"/>
      <c r="HI88" s="86"/>
      <c r="HJ88" s="86"/>
      <c r="HQ88" s="63"/>
      <c r="HR88" s="54"/>
      <c r="HU88" s="86"/>
      <c r="HV88" s="54"/>
      <c r="HW88" s="54"/>
      <c r="HX88" s="54"/>
      <c r="HY88" s="54"/>
      <c r="HZ88" s="86"/>
      <c r="IA88" s="86"/>
      <c r="IF88" s="54"/>
      <c r="IH88" s="89"/>
      <c r="IK88" s="86"/>
      <c r="IL88" s="54"/>
      <c r="IM88" s="54"/>
      <c r="IN88" s="54"/>
      <c r="IO88" s="54"/>
      <c r="JB88" s="54"/>
      <c r="JC88" s="54"/>
      <c r="JD88" s="54"/>
      <c r="JE88" s="54"/>
    </row>
    <row r="89" spans="1:265">
      <c r="A89" s="86">
        <v>59</v>
      </c>
      <c r="B89" s="117"/>
      <c r="C89" s="117"/>
      <c r="D89" s="117"/>
      <c r="E89" s="117"/>
      <c r="K89" s="117"/>
      <c r="L89" s="45"/>
      <c r="M89" s="45"/>
      <c r="N89" s="45"/>
      <c r="O89" s="45"/>
      <c r="P89" s="45"/>
      <c r="Q89" s="45"/>
      <c r="R89" s="45"/>
      <c r="S89" s="117"/>
      <c r="T89" s="117"/>
      <c r="U89" s="74"/>
      <c r="V89" s="74"/>
      <c r="W89" s="74"/>
      <c r="X89" s="74"/>
      <c r="Y89" s="74"/>
      <c r="Z89" s="74"/>
      <c r="AA89" s="74"/>
      <c r="AB89" s="74"/>
      <c r="AC89" s="117"/>
      <c r="AD89" s="117"/>
      <c r="AE89" s="117"/>
      <c r="AF89" s="117"/>
      <c r="AG89" s="117"/>
      <c r="AH89" s="117"/>
      <c r="AI89" s="117"/>
      <c r="AJ89" s="117"/>
      <c r="AK89" s="117"/>
      <c r="AL89" s="117"/>
      <c r="AM89" s="117"/>
      <c r="AN89" s="117"/>
      <c r="AO89" s="117"/>
      <c r="AP89" s="117"/>
      <c r="AQ89" s="117"/>
      <c r="AR89" s="300"/>
      <c r="AS89" s="300"/>
      <c r="AT89" s="86"/>
      <c r="AU89" s="162"/>
      <c r="AV89" s="162"/>
      <c r="AW89" s="162"/>
      <c r="AX89" s="162"/>
      <c r="AY89" s="162"/>
      <c r="BB89" s="45"/>
      <c r="BC89" s="45"/>
      <c r="BD89" s="117"/>
      <c r="BE89" s="117"/>
      <c r="BF89" s="99"/>
      <c r="BG89" s="99"/>
      <c r="BH89" s="54"/>
      <c r="BI89" s="117"/>
      <c r="BJ89" s="117"/>
      <c r="BK89" s="117"/>
      <c r="BL89" s="117"/>
      <c r="BM89" s="117"/>
      <c r="BN89" s="117"/>
      <c r="BO89" s="117"/>
      <c r="BP89" s="117"/>
      <c r="BQ89" s="117"/>
      <c r="BR89" s="117"/>
      <c r="BS89" s="117"/>
      <c r="BT89" s="117"/>
      <c r="BU89" s="117"/>
      <c r="BV89" s="117"/>
      <c r="BW89" s="117"/>
      <c r="BX89" s="102"/>
      <c r="BY89" s="102"/>
      <c r="BZ89" s="102"/>
      <c r="CD89" s="5"/>
      <c r="CE89" s="5"/>
      <c r="CF89" s="5"/>
      <c r="CG89" s="46"/>
      <c r="CH89" s="86"/>
      <c r="CI89" s="86"/>
      <c r="CJ89" s="86"/>
      <c r="CL89" s="63"/>
      <c r="CM89" s="54"/>
      <c r="CN89" s="152"/>
      <c r="CO89" s="54"/>
      <c r="CP89" s="54"/>
      <c r="CQ89" s="86"/>
      <c r="CR89" s="63"/>
      <c r="CS89" s="63"/>
      <c r="CT89" s="63"/>
      <c r="CU89" s="63"/>
      <c r="CV89" s="86"/>
      <c r="CW89" s="86"/>
      <c r="CX89" s="86"/>
      <c r="DA89" s="54"/>
      <c r="DB89" s="54"/>
      <c r="DC89" s="54"/>
      <c r="DD89" s="54"/>
      <c r="DE89" s="54"/>
      <c r="DF89" s="54"/>
      <c r="DG89" s="54"/>
      <c r="DH89" s="63"/>
      <c r="DI89" s="63"/>
      <c r="DJ89" s="63"/>
      <c r="DK89" s="63"/>
      <c r="DL89" s="63"/>
      <c r="DN89" s="86"/>
      <c r="DO89" s="86"/>
      <c r="DP89" s="86"/>
      <c r="DR89" s="63"/>
      <c r="DS89" s="54"/>
      <c r="DT89" s="54"/>
      <c r="DU89" s="54"/>
      <c r="DV89" s="54"/>
      <c r="DW89" s="54"/>
      <c r="DX89" s="54"/>
      <c r="DY89" s="63"/>
      <c r="DZ89" s="63"/>
      <c r="EA89" s="63"/>
      <c r="EB89" s="63"/>
      <c r="EC89" s="63"/>
      <c r="EE89" s="86"/>
      <c r="EF89" s="86"/>
      <c r="EG89" s="86"/>
      <c r="EI89" s="63"/>
      <c r="EJ89" s="54"/>
      <c r="EK89" s="54"/>
      <c r="EL89" s="54"/>
      <c r="EM89" s="54"/>
      <c r="EN89" s="89"/>
      <c r="EQ89" s="89"/>
      <c r="ER89" s="86"/>
      <c r="EX89" s="54"/>
      <c r="EZ89" s="54"/>
      <c r="FA89" s="54"/>
      <c r="FB89" s="54"/>
      <c r="FC89" s="54"/>
      <c r="FD89" s="89"/>
      <c r="FG89" s="86"/>
      <c r="FH89" s="253"/>
      <c r="FL89" s="45"/>
      <c r="FP89" s="54"/>
      <c r="FQ89" s="54"/>
      <c r="FR89" s="54"/>
      <c r="FS89" s="54"/>
      <c r="FT89" s="63"/>
      <c r="FU89" s="152"/>
      <c r="FV89" s="54"/>
      <c r="FW89" s="54"/>
      <c r="FX89" s="86"/>
      <c r="FY89" s="86"/>
      <c r="FZ89" s="102"/>
      <c r="GA89" s="86"/>
      <c r="GB89" s="86"/>
      <c r="GD89" s="63"/>
      <c r="GE89" s="63"/>
      <c r="GF89" s="63"/>
      <c r="GG89" s="63"/>
      <c r="GH89" s="45"/>
      <c r="GI89" s="54"/>
      <c r="GJ89" s="54"/>
      <c r="GL89" s="86"/>
      <c r="GN89" s="54"/>
      <c r="GO89" s="54"/>
      <c r="GP89" s="54"/>
      <c r="GQ89" s="54"/>
      <c r="GR89" s="86"/>
      <c r="GS89" s="86"/>
      <c r="GU89" s="63"/>
      <c r="GV89" s="63"/>
      <c r="GW89" s="63"/>
      <c r="GX89" s="63"/>
      <c r="GZ89" s="63"/>
      <c r="HA89" s="54"/>
      <c r="HD89" s="86"/>
      <c r="HE89" s="54"/>
      <c r="HF89" s="54"/>
      <c r="HG89" s="54"/>
      <c r="HH89" s="54"/>
      <c r="HI89" s="86"/>
      <c r="HJ89" s="86"/>
      <c r="HQ89" s="63"/>
      <c r="HR89" s="54"/>
      <c r="HU89" s="86"/>
      <c r="HV89" s="54"/>
      <c r="HW89" s="54"/>
      <c r="HX89" s="54"/>
      <c r="HY89" s="54"/>
      <c r="HZ89" s="86"/>
      <c r="IA89" s="86"/>
      <c r="IF89" s="54"/>
      <c r="IH89" s="89"/>
      <c r="IK89" s="86"/>
      <c r="IL89" s="54"/>
      <c r="IM89" s="54"/>
      <c r="IN89" s="54"/>
      <c r="IO89" s="54"/>
      <c r="JB89" s="54"/>
      <c r="JC89" s="54"/>
      <c r="JD89" s="54"/>
      <c r="JE89" s="54"/>
    </row>
    <row r="90" spans="1:265">
      <c r="A90" s="86">
        <v>60</v>
      </c>
      <c r="B90" s="117"/>
      <c r="C90" s="117"/>
      <c r="D90" s="117"/>
      <c r="E90" s="117"/>
      <c r="K90" s="117"/>
      <c r="L90" s="45"/>
      <c r="M90" s="45"/>
      <c r="N90" s="45"/>
      <c r="O90" s="45"/>
      <c r="P90" s="45"/>
      <c r="Q90" s="45"/>
      <c r="R90" s="45"/>
      <c r="S90" s="117"/>
      <c r="T90" s="117"/>
      <c r="U90" s="74"/>
      <c r="V90" s="74"/>
      <c r="W90" s="74"/>
      <c r="X90" s="74"/>
      <c r="Y90" s="74"/>
      <c r="Z90" s="74"/>
      <c r="AA90" s="74"/>
      <c r="AB90" s="74"/>
      <c r="AC90" s="117"/>
      <c r="AD90" s="117"/>
      <c r="AE90" s="117"/>
      <c r="AF90" s="117"/>
      <c r="AG90" s="117"/>
      <c r="AH90" s="117"/>
      <c r="AI90" s="117"/>
      <c r="AJ90" s="117"/>
      <c r="AK90" s="117"/>
      <c r="AL90" s="117"/>
      <c r="AM90" s="117"/>
      <c r="AN90" s="117"/>
      <c r="AO90" s="117"/>
      <c r="AP90" s="117"/>
      <c r="AQ90" s="117"/>
      <c r="AR90" s="300"/>
      <c r="AS90" s="300"/>
      <c r="AT90" s="86"/>
      <c r="AU90" s="162"/>
      <c r="AV90" s="162"/>
      <c r="AW90" s="162"/>
      <c r="AX90" s="162"/>
      <c r="AY90" s="162"/>
      <c r="BB90" s="45"/>
      <c r="BC90" s="45"/>
      <c r="BD90" s="117"/>
      <c r="BE90" s="117"/>
      <c r="BF90" s="99"/>
      <c r="BG90" s="99"/>
      <c r="BH90" s="54"/>
      <c r="BI90" s="117"/>
      <c r="BJ90" s="117"/>
      <c r="BK90" s="117"/>
      <c r="BL90" s="117"/>
      <c r="BM90" s="117"/>
      <c r="BN90" s="117"/>
      <c r="BO90" s="117"/>
      <c r="BP90" s="117"/>
      <c r="BQ90" s="117"/>
      <c r="BR90" s="117"/>
      <c r="BS90" s="117"/>
      <c r="BT90" s="117"/>
      <c r="BU90" s="117"/>
      <c r="BV90" s="117"/>
      <c r="BW90" s="117"/>
      <c r="BX90" s="102"/>
      <c r="BY90" s="102"/>
      <c r="BZ90" s="102"/>
      <c r="CD90" s="5"/>
      <c r="CE90" s="5"/>
      <c r="CF90" s="5"/>
      <c r="CG90" s="46"/>
      <c r="CH90" s="86"/>
      <c r="CI90" s="86"/>
      <c r="CJ90" s="86"/>
      <c r="CL90" s="63"/>
      <c r="CM90" s="54"/>
      <c r="CN90" s="152"/>
      <c r="CO90" s="54"/>
      <c r="CP90" s="54"/>
      <c r="CQ90" s="86"/>
      <c r="CR90" s="63"/>
      <c r="CS90" s="63"/>
      <c r="CT90" s="63"/>
      <c r="CU90" s="63"/>
      <c r="CV90" s="86"/>
      <c r="CW90" s="86"/>
      <c r="CX90" s="86"/>
      <c r="DA90" s="54"/>
      <c r="DB90" s="54"/>
      <c r="DC90" s="54"/>
      <c r="DD90" s="54"/>
      <c r="DE90" s="54"/>
      <c r="DF90" s="54"/>
      <c r="DG90" s="54"/>
      <c r="DH90" s="63"/>
      <c r="DI90" s="63"/>
      <c r="DJ90" s="63"/>
      <c r="DK90" s="63"/>
      <c r="DL90" s="63"/>
      <c r="DN90" s="86"/>
      <c r="DO90" s="86"/>
      <c r="DP90" s="86"/>
      <c r="DR90" s="63"/>
      <c r="DS90" s="54"/>
      <c r="DT90" s="54"/>
      <c r="DU90" s="54"/>
      <c r="DV90" s="54"/>
      <c r="DW90" s="54"/>
      <c r="DX90" s="54"/>
      <c r="DY90" s="63"/>
      <c r="DZ90" s="63"/>
      <c r="EA90" s="63"/>
      <c r="EB90" s="63"/>
      <c r="EC90" s="63"/>
      <c r="EE90" s="86"/>
      <c r="EF90" s="86"/>
      <c r="EG90" s="86"/>
      <c r="EI90" s="63"/>
      <c r="EJ90" s="54"/>
      <c r="EK90" s="54"/>
      <c r="EL90" s="54"/>
      <c r="EM90" s="54"/>
      <c r="EN90" s="89"/>
      <c r="EQ90" s="89"/>
      <c r="ER90" s="86"/>
      <c r="EX90" s="54"/>
      <c r="EZ90" s="54"/>
      <c r="FA90" s="54"/>
      <c r="FB90" s="54"/>
      <c r="FC90" s="54"/>
      <c r="FD90" s="89"/>
      <c r="FG90" s="86"/>
      <c r="FH90" s="253"/>
      <c r="FL90" s="45"/>
      <c r="FP90" s="54"/>
      <c r="FQ90" s="54"/>
      <c r="FR90" s="54"/>
      <c r="FS90" s="54"/>
      <c r="FT90" s="63"/>
      <c r="FU90" s="54"/>
      <c r="FV90" s="54"/>
      <c r="FW90" s="54"/>
      <c r="FX90" s="86"/>
      <c r="FY90" s="86"/>
      <c r="FZ90" s="102"/>
      <c r="GA90" s="86"/>
      <c r="GB90" s="86"/>
      <c r="GD90" s="63"/>
      <c r="GE90" s="63"/>
      <c r="GF90" s="63"/>
      <c r="GG90" s="63"/>
      <c r="GH90" s="45"/>
      <c r="GI90" s="54"/>
      <c r="GJ90" s="54"/>
      <c r="GL90" s="86"/>
      <c r="GN90" s="54"/>
      <c r="GO90" s="54"/>
      <c r="GP90" s="54"/>
      <c r="GQ90" s="54"/>
      <c r="GR90" s="86"/>
      <c r="GS90" s="86"/>
      <c r="GU90" s="63"/>
      <c r="GV90" s="63"/>
      <c r="GW90" s="63"/>
      <c r="GX90" s="63"/>
      <c r="GZ90" s="63"/>
      <c r="HA90" s="54"/>
      <c r="HD90" s="86"/>
      <c r="HE90" s="54"/>
      <c r="HF90" s="54"/>
      <c r="HG90" s="54"/>
      <c r="HH90" s="54"/>
      <c r="HI90" s="86"/>
      <c r="HJ90" s="86"/>
      <c r="HQ90" s="63"/>
      <c r="HR90" s="54"/>
      <c r="HU90" s="86"/>
      <c r="HV90" s="54"/>
      <c r="HW90" s="54"/>
      <c r="HX90" s="54"/>
      <c r="HY90" s="54"/>
      <c r="HZ90" s="86"/>
      <c r="IA90" s="86"/>
      <c r="IF90" s="54"/>
      <c r="IH90" s="89"/>
      <c r="IK90" s="86"/>
      <c r="IL90" s="54"/>
      <c r="IM90" s="54"/>
      <c r="IN90" s="54"/>
      <c r="IO90" s="54"/>
      <c r="JB90" s="54"/>
      <c r="JC90" s="54"/>
      <c r="JD90" s="54"/>
      <c r="JE90" s="54"/>
    </row>
    <row r="91" spans="1:265">
      <c r="A91" s="86">
        <v>61</v>
      </c>
      <c r="B91" s="117"/>
      <c r="C91" s="117"/>
      <c r="D91" s="117"/>
      <c r="E91" s="117"/>
      <c r="K91" s="117"/>
      <c r="L91" s="45"/>
      <c r="M91" s="45"/>
      <c r="N91" s="45"/>
      <c r="O91" s="45"/>
      <c r="P91" s="45"/>
      <c r="Q91" s="45"/>
      <c r="R91" s="45"/>
      <c r="S91" s="117"/>
      <c r="T91" s="117"/>
      <c r="U91" s="74"/>
      <c r="V91" s="74"/>
      <c r="W91" s="74"/>
      <c r="X91" s="74"/>
      <c r="Y91" s="74"/>
      <c r="Z91" s="74"/>
      <c r="AA91" s="74"/>
      <c r="AB91" s="74"/>
      <c r="AC91" s="117"/>
      <c r="AD91" s="117"/>
      <c r="AE91" s="117"/>
      <c r="AF91" s="117"/>
      <c r="AG91" s="117"/>
      <c r="AH91" s="117"/>
      <c r="AI91" s="117"/>
      <c r="AJ91" s="117"/>
      <c r="AK91" s="117"/>
      <c r="AL91" s="117"/>
      <c r="AM91" s="117"/>
      <c r="AN91" s="117"/>
      <c r="AO91" s="117"/>
      <c r="AP91" s="117"/>
      <c r="AQ91" s="117"/>
      <c r="AR91" s="300"/>
      <c r="AS91" s="300"/>
      <c r="AT91" s="86"/>
      <c r="AU91" s="162"/>
      <c r="AV91" s="162"/>
      <c r="AW91" s="162"/>
      <c r="AX91" s="162"/>
      <c r="AY91" s="162"/>
      <c r="BB91" s="45"/>
      <c r="BC91" s="45"/>
      <c r="BD91" s="117"/>
      <c r="BE91" s="117"/>
      <c r="BF91" s="99"/>
      <c r="BG91" s="99"/>
      <c r="BH91" s="54"/>
      <c r="BI91" s="117"/>
      <c r="BJ91" s="117"/>
      <c r="BK91" s="117"/>
      <c r="BL91" s="117"/>
      <c r="BM91" s="117"/>
      <c r="BN91" s="117"/>
      <c r="BO91" s="117"/>
      <c r="BP91" s="117"/>
      <c r="BQ91" s="117"/>
      <c r="BR91" s="117"/>
      <c r="BS91" s="117"/>
      <c r="BT91" s="117"/>
      <c r="BU91" s="117"/>
      <c r="BV91" s="117"/>
      <c r="BW91" s="117"/>
      <c r="BX91" s="102"/>
      <c r="BY91" s="102"/>
      <c r="BZ91" s="102"/>
      <c r="CD91" s="5"/>
      <c r="CE91" s="5"/>
      <c r="CF91" s="5"/>
      <c r="CG91" s="46"/>
      <c r="CH91" s="86"/>
      <c r="CI91" s="86"/>
      <c r="CJ91" s="86"/>
      <c r="CL91" s="63"/>
      <c r="CM91" s="54"/>
      <c r="CN91" s="152"/>
      <c r="CO91" s="54"/>
      <c r="CP91" s="54"/>
      <c r="CQ91" s="86"/>
      <c r="CR91" s="63"/>
      <c r="CS91" s="63"/>
      <c r="CT91" s="63"/>
      <c r="CU91" s="63"/>
      <c r="CV91" s="86"/>
      <c r="CW91" s="86"/>
      <c r="CX91" s="86"/>
      <c r="DA91" s="54"/>
      <c r="DB91" s="54"/>
      <c r="DC91" s="54"/>
      <c r="DD91" s="54"/>
      <c r="DE91" s="54"/>
      <c r="DF91" s="54"/>
      <c r="DG91" s="54"/>
      <c r="DH91" s="63"/>
      <c r="DI91" s="63"/>
      <c r="DJ91" s="63"/>
      <c r="DK91" s="63"/>
      <c r="DL91" s="63"/>
      <c r="DN91" s="86"/>
      <c r="DO91" s="86"/>
      <c r="DP91" s="86"/>
      <c r="DR91" s="63"/>
      <c r="DS91" s="54"/>
      <c r="DT91" s="54"/>
      <c r="DU91" s="54"/>
      <c r="DV91" s="54"/>
      <c r="DW91" s="54"/>
      <c r="DX91" s="54"/>
      <c r="DY91" s="63"/>
      <c r="DZ91" s="63"/>
      <c r="EA91" s="63"/>
      <c r="EB91" s="63"/>
      <c r="EC91" s="63"/>
      <c r="EE91" s="86"/>
      <c r="EF91" s="86"/>
      <c r="EG91" s="86"/>
      <c r="EI91" s="63"/>
      <c r="EJ91" s="54"/>
      <c r="EK91" s="54"/>
      <c r="EL91" s="54"/>
      <c r="EM91" s="54"/>
      <c r="EN91" s="89"/>
      <c r="EQ91" s="86"/>
      <c r="ER91" s="86"/>
      <c r="EX91" s="54"/>
      <c r="EZ91" s="54"/>
      <c r="FA91" s="54"/>
      <c r="FB91" s="54"/>
      <c r="FC91" s="54"/>
      <c r="FD91" s="89"/>
      <c r="FG91" s="86"/>
      <c r="FH91" s="253"/>
      <c r="FL91" s="45"/>
      <c r="FP91" s="54"/>
      <c r="FQ91" s="54"/>
      <c r="FR91" s="54"/>
      <c r="FS91" s="54"/>
      <c r="FT91" s="63"/>
      <c r="FU91" s="54"/>
      <c r="FV91" s="54"/>
      <c r="FW91" s="54"/>
      <c r="FX91" s="86"/>
      <c r="FY91" s="86"/>
      <c r="FZ91" s="102"/>
      <c r="GA91" s="86"/>
      <c r="GB91" s="86"/>
      <c r="GD91" s="63"/>
      <c r="GE91" s="63"/>
      <c r="GF91" s="63"/>
      <c r="GG91" s="63"/>
      <c r="GH91" s="45"/>
      <c r="GI91" s="54"/>
      <c r="GJ91" s="54"/>
      <c r="GL91" s="86"/>
      <c r="GN91" s="54"/>
      <c r="GO91" s="54"/>
      <c r="GP91" s="54"/>
      <c r="GQ91" s="54"/>
      <c r="GR91" s="86"/>
      <c r="GS91" s="86"/>
      <c r="GU91" s="63"/>
      <c r="GV91" s="63"/>
      <c r="GW91" s="63"/>
      <c r="GX91" s="63"/>
      <c r="GZ91" s="63"/>
      <c r="HA91" s="54"/>
      <c r="HD91" s="86"/>
      <c r="HE91" s="54"/>
      <c r="HF91" s="54"/>
      <c r="HG91" s="54"/>
      <c r="HH91" s="54"/>
      <c r="HI91" s="86"/>
      <c r="HJ91" s="86"/>
      <c r="HQ91" s="63"/>
      <c r="HR91" s="54"/>
      <c r="HU91" s="86"/>
      <c r="HV91" s="54"/>
      <c r="HW91" s="54"/>
      <c r="HX91" s="54"/>
      <c r="HY91" s="54"/>
      <c r="HZ91" s="86"/>
      <c r="IA91" s="86"/>
      <c r="IF91" s="54"/>
      <c r="IH91" s="89"/>
      <c r="IK91" s="86"/>
      <c r="IL91" s="54"/>
      <c r="IM91" s="54"/>
      <c r="IN91" s="54"/>
      <c r="IO91" s="54"/>
      <c r="JB91" s="54"/>
      <c r="JC91" s="54"/>
      <c r="JD91" s="54"/>
      <c r="JE91" s="54"/>
    </row>
    <row r="92" spans="1:265">
      <c r="A92" s="86">
        <v>62</v>
      </c>
      <c r="B92" s="117"/>
      <c r="C92" s="117"/>
      <c r="D92" s="117"/>
      <c r="E92" s="117"/>
      <c r="K92" s="117"/>
      <c r="L92" s="45"/>
      <c r="M92" s="45"/>
      <c r="N92" s="45"/>
      <c r="O92" s="45"/>
      <c r="P92" s="45"/>
      <c r="Q92" s="45"/>
      <c r="R92" s="45"/>
      <c r="S92" s="117"/>
      <c r="T92" s="117"/>
      <c r="U92" s="74"/>
      <c r="V92" s="74"/>
      <c r="W92" s="74"/>
      <c r="X92" s="74"/>
      <c r="Y92" s="74"/>
      <c r="Z92" s="74"/>
      <c r="AA92" s="74"/>
      <c r="AB92" s="74"/>
      <c r="AC92" s="117"/>
      <c r="AD92" s="117"/>
      <c r="AE92" s="117"/>
      <c r="AF92" s="117"/>
      <c r="AG92" s="117"/>
      <c r="AH92" s="117"/>
      <c r="AI92" s="117"/>
      <c r="AJ92" s="117"/>
      <c r="AK92" s="117"/>
      <c r="AL92" s="117"/>
      <c r="AM92" s="117"/>
      <c r="AN92" s="117"/>
      <c r="AO92" s="117"/>
      <c r="AP92" s="117"/>
      <c r="AQ92" s="117"/>
      <c r="AR92" s="300"/>
      <c r="AS92" s="300"/>
      <c r="AT92" s="86"/>
      <c r="AU92" s="162"/>
      <c r="AV92" s="162"/>
      <c r="AW92" s="162"/>
      <c r="AX92" s="162"/>
      <c r="AY92" s="162"/>
      <c r="BB92" s="45"/>
      <c r="BC92" s="45"/>
      <c r="BD92" s="117"/>
      <c r="BE92" s="117"/>
      <c r="BF92" s="99"/>
      <c r="BG92" s="99"/>
      <c r="BH92" s="54"/>
      <c r="BI92" s="117"/>
      <c r="BJ92" s="117"/>
      <c r="BK92" s="117"/>
      <c r="BL92" s="117"/>
      <c r="BM92" s="117"/>
      <c r="BN92" s="117"/>
      <c r="BO92" s="117"/>
      <c r="BP92" s="117"/>
      <c r="BQ92" s="117"/>
      <c r="BR92" s="117"/>
      <c r="BS92" s="117"/>
      <c r="BT92" s="117"/>
      <c r="BU92" s="117"/>
      <c r="BV92" s="117"/>
      <c r="BW92" s="117"/>
      <c r="BX92" s="102"/>
      <c r="BY92" s="102"/>
      <c r="BZ92" s="102"/>
      <c r="CD92" s="5"/>
      <c r="CE92" s="5"/>
      <c r="CF92" s="5"/>
      <c r="CG92" s="46"/>
      <c r="CH92" s="86"/>
      <c r="CI92" s="86"/>
      <c r="CJ92" s="86"/>
      <c r="CL92" s="63"/>
      <c r="CM92" s="54"/>
      <c r="CN92" s="152"/>
      <c r="CO92" s="54"/>
      <c r="CP92" s="54"/>
      <c r="CQ92" s="86"/>
      <c r="CR92" s="63"/>
      <c r="CS92" s="63"/>
      <c r="CT92" s="63"/>
      <c r="CU92" s="63"/>
      <c r="CV92" s="86"/>
      <c r="CW92" s="86"/>
      <c r="CX92" s="86"/>
      <c r="DA92" s="54"/>
      <c r="DB92" s="54"/>
      <c r="DC92" s="54"/>
      <c r="DD92" s="54"/>
      <c r="DE92" s="54"/>
      <c r="DF92" s="54"/>
      <c r="DG92" s="54"/>
      <c r="DH92" s="63"/>
      <c r="DI92" s="63"/>
      <c r="DJ92" s="63"/>
      <c r="DK92" s="63"/>
      <c r="DL92" s="63"/>
      <c r="DN92" s="86"/>
      <c r="DO92" s="86"/>
      <c r="DP92" s="86"/>
      <c r="DR92" s="63"/>
      <c r="DS92" s="54"/>
      <c r="DT92" s="54"/>
      <c r="DU92" s="54"/>
      <c r="DV92" s="54"/>
      <c r="DW92" s="54"/>
      <c r="DX92" s="54"/>
      <c r="DY92" s="63"/>
      <c r="DZ92" s="63"/>
      <c r="EA92" s="63"/>
      <c r="EB92" s="63"/>
      <c r="EC92" s="63"/>
      <c r="EE92" s="86"/>
      <c r="EF92" s="86"/>
      <c r="EG92" s="86"/>
      <c r="EI92" s="63"/>
      <c r="EJ92" s="54"/>
      <c r="EK92" s="54"/>
      <c r="EL92" s="54"/>
      <c r="EM92" s="54"/>
      <c r="EN92" s="89"/>
      <c r="EQ92" s="86"/>
      <c r="ER92" s="86"/>
      <c r="EX92" s="54"/>
      <c r="EZ92" s="54"/>
      <c r="FA92" s="54"/>
      <c r="FB92" s="54"/>
      <c r="FC92" s="54"/>
      <c r="FD92" s="89"/>
      <c r="FG92" s="86"/>
      <c r="FH92" s="253"/>
      <c r="FL92" s="45"/>
      <c r="FP92" s="54"/>
      <c r="FQ92" s="54"/>
      <c r="FR92" s="54"/>
      <c r="FS92" s="54"/>
      <c r="FT92" s="63"/>
      <c r="FU92" s="54"/>
      <c r="FV92" s="54"/>
      <c r="FW92" s="54"/>
      <c r="FX92" s="86"/>
      <c r="FY92" s="86"/>
      <c r="FZ92" s="102"/>
      <c r="GA92" s="86"/>
      <c r="GB92" s="86"/>
      <c r="GD92" s="63"/>
      <c r="GE92" s="63"/>
      <c r="GF92" s="63"/>
      <c r="GG92" s="63"/>
      <c r="GH92" s="45"/>
      <c r="GI92" s="54"/>
      <c r="GJ92" s="54"/>
      <c r="GL92" s="86"/>
      <c r="GN92" s="54"/>
      <c r="GO92" s="54"/>
      <c r="GP92" s="54"/>
      <c r="GQ92" s="54"/>
      <c r="GR92" s="86"/>
      <c r="GS92" s="86"/>
      <c r="GU92" s="63"/>
      <c r="GV92" s="63"/>
      <c r="GW92" s="63"/>
      <c r="GX92" s="63"/>
      <c r="GZ92" s="63"/>
      <c r="HA92" s="54"/>
      <c r="HD92" s="86"/>
      <c r="HE92" s="54"/>
      <c r="HF92" s="54"/>
      <c r="HG92" s="54"/>
      <c r="HH92" s="54"/>
      <c r="HI92" s="86"/>
      <c r="HJ92" s="86"/>
      <c r="HQ92" s="63"/>
      <c r="HR92" s="54"/>
      <c r="HU92" s="86"/>
      <c r="HV92" s="54"/>
      <c r="HW92" s="54"/>
      <c r="HX92" s="54"/>
      <c r="HY92" s="54"/>
      <c r="HZ92" s="86"/>
      <c r="IA92" s="86"/>
      <c r="IF92" s="54"/>
      <c r="IH92" s="89"/>
      <c r="IK92" s="86"/>
      <c r="IL92" s="54"/>
      <c r="IM92" s="54"/>
      <c r="IN92" s="54"/>
      <c r="IO92" s="54"/>
      <c r="JB92" s="54"/>
      <c r="JC92" s="54"/>
      <c r="JD92" s="54"/>
      <c r="JE92" s="54"/>
    </row>
    <row r="93" spans="1:265">
      <c r="A93" s="86">
        <v>63</v>
      </c>
      <c r="B93" s="117"/>
      <c r="C93" s="117"/>
      <c r="D93" s="117"/>
      <c r="E93" s="117"/>
      <c r="K93" s="117"/>
      <c r="L93" s="45"/>
      <c r="M93" s="45"/>
      <c r="N93" s="45"/>
      <c r="O93" s="45"/>
      <c r="P93" s="45"/>
      <c r="Q93" s="45"/>
      <c r="R93" s="45"/>
      <c r="S93" s="117"/>
      <c r="T93" s="117"/>
      <c r="U93" s="74"/>
      <c r="V93" s="74"/>
      <c r="W93" s="74"/>
      <c r="X93" s="74"/>
      <c r="Y93" s="74"/>
      <c r="Z93" s="74"/>
      <c r="AA93" s="74"/>
      <c r="AB93" s="74"/>
      <c r="AC93" s="117"/>
      <c r="AD93" s="117"/>
      <c r="AE93" s="117"/>
      <c r="AF93" s="117"/>
      <c r="AG93" s="117"/>
      <c r="AH93" s="117"/>
      <c r="AI93" s="117"/>
      <c r="AJ93" s="117"/>
      <c r="AK93" s="117"/>
      <c r="AL93" s="117"/>
      <c r="AM93" s="117"/>
      <c r="AN93" s="117"/>
      <c r="AO93" s="117"/>
      <c r="AP93" s="117"/>
      <c r="AQ93" s="117"/>
      <c r="AR93" s="300"/>
      <c r="AS93" s="300"/>
      <c r="AT93" s="86"/>
      <c r="AU93" s="162"/>
      <c r="AV93" s="162"/>
      <c r="AW93" s="162"/>
      <c r="AX93" s="162"/>
      <c r="AY93" s="162"/>
      <c r="BB93" s="45"/>
      <c r="BC93" s="45"/>
      <c r="BD93" s="117"/>
      <c r="BE93" s="117"/>
      <c r="BF93" s="99"/>
      <c r="BG93" s="99"/>
      <c r="BH93" s="54"/>
      <c r="BI93" s="117"/>
      <c r="BJ93" s="117"/>
      <c r="BK93" s="117"/>
      <c r="BL93" s="117"/>
      <c r="BM93" s="117"/>
      <c r="BN93" s="117"/>
      <c r="BO93" s="117"/>
      <c r="BP93" s="117"/>
      <c r="BQ93" s="117"/>
      <c r="BR93" s="117"/>
      <c r="BS93" s="117"/>
      <c r="BT93" s="117"/>
      <c r="BU93" s="117"/>
      <c r="BV93" s="117"/>
      <c r="BW93" s="117"/>
      <c r="BX93" s="102"/>
      <c r="BY93" s="102"/>
      <c r="BZ93" s="102"/>
      <c r="CD93" s="5"/>
      <c r="CE93" s="5"/>
      <c r="CF93" s="5"/>
      <c r="CG93" s="46"/>
      <c r="CH93" s="86"/>
      <c r="CI93" s="86"/>
      <c r="CJ93" s="86"/>
      <c r="CL93" s="63"/>
      <c r="CM93" s="54"/>
      <c r="CN93" s="152"/>
      <c r="CO93" s="54"/>
      <c r="CP93" s="54"/>
      <c r="CQ93" s="86"/>
      <c r="CR93" s="63"/>
      <c r="CS93" s="63"/>
      <c r="CT93" s="63"/>
      <c r="CU93" s="63"/>
      <c r="CV93" s="86"/>
      <c r="CW93" s="86"/>
      <c r="CX93" s="86"/>
      <c r="DA93" s="54"/>
      <c r="DB93" s="54"/>
      <c r="DC93" s="54"/>
      <c r="DD93" s="54"/>
      <c r="DE93" s="54"/>
      <c r="DF93" s="54"/>
      <c r="DG93" s="54"/>
      <c r="DH93" s="63"/>
      <c r="DI93" s="63"/>
      <c r="DJ93" s="63"/>
      <c r="DK93" s="63"/>
      <c r="DL93" s="63"/>
      <c r="DN93" s="86"/>
      <c r="DO93" s="86"/>
      <c r="DP93" s="86"/>
      <c r="DR93" s="63"/>
      <c r="DS93" s="54"/>
      <c r="DT93" s="54"/>
      <c r="DU93" s="54"/>
      <c r="DV93" s="54"/>
      <c r="DW93" s="54"/>
      <c r="DX93" s="54"/>
      <c r="DY93" s="63"/>
      <c r="DZ93" s="63"/>
      <c r="EA93" s="63"/>
      <c r="EB93" s="63"/>
      <c r="EC93" s="63"/>
      <c r="EE93" s="86"/>
      <c r="EF93" s="86"/>
      <c r="EG93" s="86"/>
      <c r="EI93" s="63"/>
      <c r="EJ93" s="54"/>
      <c r="EK93" s="54"/>
      <c r="EL93" s="54"/>
      <c r="EM93" s="54"/>
      <c r="EN93" s="89"/>
      <c r="EQ93" s="86"/>
      <c r="ER93" s="86"/>
      <c r="EX93" s="54"/>
      <c r="EZ93" s="54"/>
      <c r="FA93" s="54"/>
      <c r="FB93" s="54"/>
      <c r="FC93" s="54"/>
      <c r="FD93" s="89"/>
      <c r="FG93" s="86"/>
      <c r="FH93" s="253"/>
      <c r="FL93" s="45"/>
      <c r="FP93" s="54"/>
      <c r="FQ93" s="54"/>
      <c r="FR93" s="54"/>
      <c r="FS93" s="54"/>
      <c r="FT93" s="63"/>
      <c r="FU93" s="54"/>
      <c r="FV93" s="54"/>
      <c r="FW93" s="54"/>
      <c r="FX93" s="86"/>
      <c r="FY93" s="86"/>
      <c r="FZ93" s="102"/>
      <c r="GA93" s="86"/>
      <c r="GB93" s="86"/>
      <c r="GD93" s="63"/>
      <c r="GE93" s="63"/>
      <c r="GF93" s="63"/>
      <c r="GG93" s="63"/>
      <c r="GH93" s="45"/>
      <c r="GI93" s="54"/>
      <c r="GJ93" s="54"/>
      <c r="GL93" s="86"/>
      <c r="GN93" s="54"/>
      <c r="GO93" s="54"/>
      <c r="GP93" s="54"/>
      <c r="GQ93" s="54"/>
      <c r="GR93" s="86"/>
      <c r="GS93" s="86"/>
      <c r="GU93" s="63"/>
      <c r="GV93" s="63"/>
      <c r="GW93" s="63"/>
      <c r="GX93" s="63"/>
      <c r="GZ93" s="63"/>
      <c r="HA93" s="54"/>
      <c r="HD93" s="86"/>
      <c r="HE93" s="54"/>
      <c r="HF93" s="54"/>
      <c r="HG93" s="54"/>
      <c r="HH93" s="54"/>
      <c r="HI93" s="86"/>
      <c r="HJ93" s="86"/>
      <c r="HQ93" s="63"/>
      <c r="HR93" s="54"/>
      <c r="HU93" s="86"/>
      <c r="HV93" s="54"/>
      <c r="HW93" s="54"/>
      <c r="HX93" s="54"/>
      <c r="HY93" s="54"/>
      <c r="HZ93" s="86"/>
      <c r="IA93" s="86"/>
      <c r="IF93" s="54"/>
      <c r="IH93" s="89"/>
      <c r="IK93" s="86"/>
      <c r="IL93" s="54"/>
      <c r="IM93" s="54"/>
      <c r="IN93" s="54"/>
      <c r="IO93" s="54"/>
      <c r="JB93" s="54"/>
      <c r="JC93" s="54"/>
      <c r="JD93" s="54"/>
      <c r="JE93" s="54"/>
    </row>
    <row r="94" spans="1:265">
      <c r="A94" s="86">
        <v>64</v>
      </c>
      <c r="B94" s="117"/>
      <c r="C94" s="117"/>
      <c r="D94" s="117"/>
      <c r="E94" s="117"/>
      <c r="K94" s="117"/>
      <c r="L94" s="45"/>
      <c r="M94" s="45"/>
      <c r="N94" s="45"/>
      <c r="O94" s="45"/>
      <c r="P94" s="45"/>
      <c r="Q94" s="45"/>
      <c r="R94" s="45"/>
      <c r="S94" s="117"/>
      <c r="T94" s="117"/>
      <c r="U94" s="74"/>
      <c r="V94" s="74"/>
      <c r="W94" s="74"/>
      <c r="X94" s="74"/>
      <c r="Y94" s="74"/>
      <c r="Z94" s="74"/>
      <c r="AA94" s="74"/>
      <c r="AB94" s="74"/>
      <c r="AC94" s="117"/>
      <c r="AD94" s="117"/>
      <c r="AE94" s="117"/>
      <c r="AF94" s="117"/>
      <c r="AG94" s="117"/>
      <c r="AH94" s="117"/>
      <c r="AI94" s="117"/>
      <c r="AJ94" s="117"/>
      <c r="AK94" s="117"/>
      <c r="AL94" s="117"/>
      <c r="AM94" s="117"/>
      <c r="AN94" s="117"/>
      <c r="AO94" s="117"/>
      <c r="AP94" s="117"/>
      <c r="AQ94" s="117"/>
      <c r="AR94" s="300"/>
      <c r="AS94" s="300"/>
      <c r="AT94" s="86"/>
      <c r="AU94" s="162"/>
      <c r="AV94" s="162"/>
      <c r="AW94" s="162"/>
      <c r="AX94" s="162"/>
      <c r="AY94" s="162"/>
      <c r="BB94" s="45"/>
      <c r="BC94" s="45"/>
      <c r="BD94" s="117"/>
      <c r="BE94" s="117"/>
      <c r="BF94" s="99"/>
      <c r="BG94" s="99"/>
      <c r="BH94" s="54"/>
      <c r="BI94" s="117"/>
      <c r="BJ94" s="117"/>
      <c r="BK94" s="117"/>
      <c r="BL94" s="117"/>
      <c r="BM94" s="117"/>
      <c r="BN94" s="117"/>
      <c r="BO94" s="117"/>
      <c r="BP94" s="117"/>
      <c r="BQ94" s="117"/>
      <c r="BR94" s="117"/>
      <c r="BS94" s="117"/>
      <c r="BT94" s="117"/>
      <c r="BU94" s="117"/>
      <c r="BV94" s="117"/>
      <c r="BW94" s="117"/>
      <c r="BX94" s="102"/>
      <c r="BY94" s="102"/>
      <c r="BZ94" s="102"/>
      <c r="CD94" s="5"/>
      <c r="CE94" s="5"/>
      <c r="CF94" s="5"/>
      <c r="CG94" s="46"/>
      <c r="CH94" s="86"/>
      <c r="CI94" s="86"/>
      <c r="CJ94" s="86"/>
      <c r="CL94" s="63"/>
      <c r="CM94" s="54"/>
      <c r="CN94" s="152"/>
      <c r="CO94" s="54"/>
      <c r="CP94" s="54"/>
      <c r="CQ94" s="86"/>
      <c r="CR94" s="63"/>
      <c r="CS94" s="63"/>
      <c r="CT94" s="63"/>
      <c r="CU94" s="63"/>
      <c r="CV94" s="86"/>
      <c r="CW94" s="86"/>
      <c r="CX94" s="86"/>
      <c r="DA94" s="54"/>
      <c r="DB94" s="54"/>
      <c r="DC94" s="54"/>
      <c r="DD94" s="54"/>
      <c r="DE94" s="54"/>
      <c r="DF94" s="54"/>
      <c r="DG94" s="54"/>
      <c r="DH94" s="63"/>
      <c r="DI94" s="63"/>
      <c r="DJ94" s="63"/>
      <c r="DK94" s="63"/>
      <c r="DL94" s="63"/>
      <c r="DN94" s="86"/>
      <c r="DO94" s="86"/>
      <c r="DP94" s="86"/>
      <c r="DR94" s="63"/>
      <c r="DS94" s="54"/>
      <c r="DT94" s="54"/>
      <c r="DU94" s="54"/>
      <c r="DV94" s="54"/>
      <c r="DW94" s="54"/>
      <c r="DX94" s="54"/>
      <c r="DY94" s="63"/>
      <c r="DZ94" s="63"/>
      <c r="EA94" s="63"/>
      <c r="EB94" s="63"/>
      <c r="EC94" s="63"/>
      <c r="EE94" s="86"/>
      <c r="EF94" s="86"/>
      <c r="EG94" s="86"/>
      <c r="EI94" s="63"/>
      <c r="EJ94" s="54"/>
      <c r="EK94" s="54"/>
      <c r="EL94" s="54"/>
      <c r="EM94" s="54"/>
      <c r="EN94" s="89"/>
      <c r="EQ94" s="86"/>
      <c r="ER94" s="86"/>
      <c r="EX94" s="54"/>
      <c r="EZ94" s="54"/>
      <c r="FA94" s="54"/>
      <c r="FB94" s="54"/>
      <c r="FC94" s="54"/>
      <c r="FD94" s="89"/>
      <c r="FG94" s="86"/>
      <c r="FH94" s="253"/>
      <c r="FL94" s="45"/>
      <c r="FP94" s="54"/>
      <c r="FQ94" s="54"/>
      <c r="FR94" s="54"/>
      <c r="FS94" s="54"/>
      <c r="FT94" s="63"/>
      <c r="FU94" s="54"/>
      <c r="FV94" s="54"/>
      <c r="FW94" s="54"/>
      <c r="FX94" s="86"/>
      <c r="FY94" s="86"/>
      <c r="FZ94" s="102"/>
      <c r="GA94" s="86"/>
      <c r="GB94" s="86"/>
      <c r="GD94" s="63"/>
      <c r="GE94" s="63"/>
      <c r="GF94" s="63"/>
      <c r="GG94" s="63"/>
      <c r="GH94" s="45"/>
      <c r="GI94" s="54"/>
      <c r="GJ94" s="54"/>
      <c r="GL94" s="86"/>
      <c r="GN94" s="54"/>
      <c r="GO94" s="54"/>
      <c r="GP94" s="54"/>
      <c r="GQ94" s="54"/>
      <c r="GR94" s="86"/>
      <c r="GS94" s="86"/>
      <c r="GU94" s="63"/>
      <c r="GV94" s="63"/>
      <c r="GW94" s="63"/>
      <c r="GX94" s="63"/>
      <c r="GZ94" s="63"/>
      <c r="HA94" s="54"/>
      <c r="HD94" s="86"/>
      <c r="HE94" s="54"/>
      <c r="HF94" s="54"/>
      <c r="HG94" s="54"/>
      <c r="HH94" s="54"/>
      <c r="HI94" s="86"/>
      <c r="HJ94" s="86"/>
      <c r="HQ94" s="63"/>
      <c r="HR94" s="54"/>
      <c r="HU94" s="86"/>
      <c r="HV94" s="54"/>
      <c r="HW94" s="54"/>
      <c r="HX94" s="54"/>
      <c r="HY94" s="54"/>
      <c r="HZ94" s="86"/>
      <c r="IA94" s="86"/>
      <c r="IF94" s="54"/>
      <c r="IH94" s="89"/>
      <c r="IK94" s="86"/>
      <c r="IL94" s="54"/>
      <c r="IM94" s="54"/>
      <c r="IN94" s="54"/>
      <c r="IO94" s="54"/>
      <c r="JB94" s="54"/>
      <c r="JC94" s="54"/>
      <c r="JD94" s="54"/>
      <c r="JE94" s="54"/>
    </row>
    <row r="95" spans="1:265">
      <c r="A95" s="86">
        <v>65</v>
      </c>
      <c r="B95" s="117"/>
      <c r="C95" s="117"/>
      <c r="D95" s="117"/>
      <c r="E95" s="117"/>
      <c r="K95" s="117"/>
      <c r="L95" s="45"/>
      <c r="M95" s="45"/>
      <c r="N95" s="45"/>
      <c r="O95" s="45"/>
      <c r="P95" s="45"/>
      <c r="Q95" s="45"/>
      <c r="R95" s="45"/>
      <c r="S95" s="117"/>
      <c r="T95" s="117"/>
      <c r="U95" s="74"/>
      <c r="V95" s="74"/>
      <c r="W95" s="74"/>
      <c r="X95" s="74"/>
      <c r="Y95" s="74"/>
      <c r="Z95" s="74"/>
      <c r="AA95" s="74"/>
      <c r="AB95" s="74"/>
      <c r="AC95" s="117"/>
      <c r="AD95" s="117"/>
      <c r="AE95" s="117"/>
      <c r="AF95" s="117"/>
      <c r="AG95" s="117"/>
      <c r="AH95" s="117"/>
      <c r="AI95" s="117"/>
      <c r="AJ95" s="117"/>
      <c r="AK95" s="117"/>
      <c r="AL95" s="117"/>
      <c r="AM95" s="117"/>
      <c r="AN95" s="117"/>
      <c r="AO95" s="117"/>
      <c r="AP95" s="117"/>
      <c r="AQ95" s="117"/>
      <c r="AR95" s="300"/>
      <c r="AS95" s="300"/>
      <c r="AT95" s="86"/>
      <c r="AU95" s="162"/>
      <c r="AV95" s="162"/>
      <c r="AW95" s="162"/>
      <c r="AX95" s="162"/>
      <c r="AY95" s="162"/>
      <c r="BB95" s="45"/>
      <c r="BC95" s="45"/>
      <c r="BD95" s="117"/>
      <c r="BE95" s="117"/>
      <c r="BF95" s="99"/>
      <c r="BG95" s="99"/>
      <c r="BH95" s="54"/>
      <c r="BI95" s="117"/>
      <c r="BJ95" s="117"/>
      <c r="BK95" s="117"/>
      <c r="BL95" s="117"/>
      <c r="BM95" s="117"/>
      <c r="BN95" s="117"/>
      <c r="BO95" s="117"/>
      <c r="BP95" s="117"/>
      <c r="BQ95" s="117"/>
      <c r="BR95" s="117"/>
      <c r="BS95" s="117"/>
      <c r="BT95" s="117"/>
      <c r="BU95" s="117"/>
      <c r="BV95" s="117"/>
      <c r="BW95" s="117"/>
      <c r="BX95" s="102"/>
      <c r="BY95" s="102"/>
      <c r="BZ95" s="102"/>
      <c r="CD95" s="5"/>
      <c r="CE95" s="5"/>
      <c r="CF95" s="5"/>
      <c r="CG95" s="46"/>
      <c r="CH95" s="86"/>
      <c r="CI95" s="86"/>
      <c r="CJ95" s="86"/>
      <c r="CL95" s="63"/>
      <c r="CM95" s="54"/>
      <c r="CN95" s="152"/>
      <c r="CO95" s="54"/>
      <c r="CP95" s="54"/>
      <c r="CQ95" s="86"/>
      <c r="CR95" s="63"/>
      <c r="CS95" s="63"/>
      <c r="CT95" s="63"/>
      <c r="CU95" s="63"/>
      <c r="CV95" s="86"/>
      <c r="CW95" s="86"/>
      <c r="CX95" s="86"/>
      <c r="DA95" s="54"/>
      <c r="DB95" s="54"/>
      <c r="DC95" s="54"/>
      <c r="DD95" s="54"/>
      <c r="DE95" s="54"/>
      <c r="DF95" s="54"/>
      <c r="DG95" s="54"/>
      <c r="DH95" s="63"/>
      <c r="DI95" s="63"/>
      <c r="DJ95" s="63"/>
      <c r="DK95" s="63"/>
      <c r="DL95" s="63"/>
      <c r="DN95" s="86"/>
      <c r="DO95" s="86"/>
      <c r="DP95" s="86"/>
      <c r="DR95" s="63"/>
      <c r="DS95" s="54"/>
      <c r="DT95" s="54"/>
      <c r="DU95" s="54"/>
      <c r="DV95" s="54"/>
      <c r="DW95" s="54"/>
      <c r="DX95" s="54"/>
      <c r="DY95" s="63"/>
      <c r="DZ95" s="63"/>
      <c r="EA95" s="63"/>
      <c r="EB95" s="63"/>
      <c r="EC95" s="63"/>
      <c r="EE95" s="86"/>
      <c r="EF95" s="86"/>
      <c r="EG95" s="86"/>
      <c r="EI95" s="63"/>
      <c r="EJ95" s="54"/>
      <c r="EK95" s="54"/>
      <c r="EL95" s="54"/>
      <c r="EM95" s="54"/>
      <c r="EN95" s="89"/>
      <c r="EQ95" s="86"/>
      <c r="ER95" s="86"/>
      <c r="EX95" s="54"/>
      <c r="EZ95" s="54"/>
      <c r="FA95" s="54"/>
      <c r="FB95" s="54"/>
      <c r="FC95" s="54"/>
      <c r="FD95" s="89"/>
      <c r="FG95" s="86"/>
      <c r="FH95" s="253"/>
      <c r="FL95" s="45"/>
      <c r="FP95" s="54"/>
      <c r="FQ95" s="54"/>
      <c r="FR95" s="54"/>
      <c r="FS95" s="54"/>
      <c r="FT95" s="63"/>
      <c r="FU95" s="54"/>
      <c r="FV95" s="54"/>
      <c r="FW95" s="54"/>
      <c r="FX95" s="86"/>
      <c r="FY95" s="86"/>
      <c r="FZ95" s="102"/>
      <c r="GA95" s="86"/>
      <c r="GB95" s="86"/>
      <c r="GD95" s="63"/>
      <c r="GE95" s="63"/>
      <c r="GF95" s="63"/>
      <c r="GG95" s="63"/>
      <c r="GH95" s="45"/>
      <c r="GI95" s="54"/>
      <c r="GJ95" s="54"/>
      <c r="GL95" s="86"/>
      <c r="GN95" s="54"/>
      <c r="GO95" s="54"/>
      <c r="GP95" s="54"/>
      <c r="GQ95" s="54"/>
      <c r="GR95" s="86"/>
      <c r="GS95" s="86"/>
      <c r="GU95" s="63"/>
      <c r="GV95" s="63"/>
      <c r="GW95" s="63"/>
      <c r="GX95" s="63"/>
      <c r="GZ95" s="63"/>
      <c r="HA95" s="54"/>
      <c r="HD95" s="86"/>
      <c r="HE95" s="54"/>
      <c r="HF95" s="54"/>
      <c r="HG95" s="54"/>
      <c r="HH95" s="54"/>
      <c r="HI95" s="86"/>
      <c r="HJ95" s="86"/>
      <c r="HQ95" s="63"/>
      <c r="HR95" s="54"/>
      <c r="HU95" s="86"/>
      <c r="HV95" s="54"/>
      <c r="HW95" s="54"/>
      <c r="HX95" s="54"/>
      <c r="HY95" s="54"/>
      <c r="HZ95" s="86"/>
      <c r="IA95" s="86"/>
      <c r="IF95" s="54"/>
      <c r="IH95" s="89"/>
      <c r="IK95" s="86"/>
      <c r="IL95" s="54"/>
      <c r="IM95" s="54"/>
      <c r="IN95" s="54"/>
      <c r="IO95" s="54"/>
      <c r="JB95" s="54"/>
      <c r="JC95" s="54"/>
      <c r="JD95" s="54"/>
      <c r="JE95" s="54"/>
    </row>
    <row r="96" spans="1:265">
      <c r="A96" s="86">
        <v>66</v>
      </c>
      <c r="B96" s="117"/>
      <c r="C96" s="117"/>
      <c r="D96" s="117"/>
      <c r="E96" s="117"/>
      <c r="K96" s="117"/>
      <c r="L96" s="45"/>
      <c r="M96" s="45"/>
      <c r="N96" s="45"/>
      <c r="O96" s="45"/>
      <c r="P96" s="45"/>
      <c r="Q96" s="45"/>
      <c r="R96" s="45"/>
      <c r="S96" s="117"/>
      <c r="T96" s="117"/>
      <c r="U96" s="74"/>
      <c r="V96" s="74"/>
      <c r="W96" s="74"/>
      <c r="X96" s="74"/>
      <c r="Y96" s="74"/>
      <c r="Z96" s="74"/>
      <c r="AA96" s="74"/>
      <c r="AB96" s="74"/>
      <c r="AC96" s="117"/>
      <c r="AD96" s="117"/>
      <c r="AE96" s="117"/>
      <c r="AF96" s="117"/>
      <c r="AG96" s="117"/>
      <c r="AH96" s="117"/>
      <c r="AI96" s="117"/>
      <c r="AJ96" s="117"/>
      <c r="AK96" s="117"/>
      <c r="AL96" s="117"/>
      <c r="AM96" s="117"/>
      <c r="AN96" s="117"/>
      <c r="AO96" s="117"/>
      <c r="AP96" s="117"/>
      <c r="AQ96" s="117"/>
      <c r="AR96" s="300"/>
      <c r="AS96" s="300"/>
      <c r="AT96" s="86"/>
      <c r="AU96" s="162"/>
      <c r="AV96" s="162"/>
      <c r="AW96" s="162"/>
      <c r="AX96" s="162"/>
      <c r="AY96" s="162"/>
      <c r="BB96" s="45"/>
      <c r="BC96" s="45"/>
      <c r="BD96" s="117"/>
      <c r="BE96" s="117"/>
      <c r="BF96" s="99"/>
      <c r="BG96" s="99"/>
      <c r="BH96" s="54"/>
      <c r="BI96" s="117"/>
      <c r="BJ96" s="117"/>
      <c r="BK96" s="117"/>
      <c r="BL96" s="117"/>
      <c r="BM96" s="117"/>
      <c r="BN96" s="117"/>
      <c r="BO96" s="117"/>
      <c r="BP96" s="117"/>
      <c r="BQ96" s="117"/>
      <c r="BR96" s="117"/>
      <c r="BS96" s="117"/>
      <c r="BT96" s="117"/>
      <c r="BU96" s="117"/>
      <c r="BV96" s="117"/>
      <c r="BW96" s="117"/>
      <c r="BX96" s="102"/>
      <c r="BY96" s="102"/>
      <c r="BZ96" s="102"/>
      <c r="CD96" s="5"/>
      <c r="CE96" s="5"/>
      <c r="CF96" s="5"/>
      <c r="CG96" s="46"/>
      <c r="CH96" s="86"/>
      <c r="CI96" s="86"/>
      <c r="CJ96" s="86"/>
      <c r="CL96" s="63"/>
      <c r="CM96" s="54"/>
      <c r="CN96" s="152"/>
      <c r="CO96" s="54"/>
      <c r="CP96" s="54"/>
      <c r="CQ96" s="86"/>
      <c r="CR96" s="63"/>
      <c r="CS96" s="63"/>
      <c r="CT96" s="63"/>
      <c r="CU96" s="63"/>
      <c r="CV96" s="86"/>
      <c r="CW96" s="86"/>
      <c r="CX96" s="86"/>
      <c r="DA96" s="54"/>
      <c r="DB96" s="54"/>
      <c r="DC96" s="54"/>
      <c r="DD96" s="54"/>
      <c r="DE96" s="54"/>
      <c r="DF96" s="54"/>
      <c r="DG96" s="54"/>
      <c r="DH96" s="63"/>
      <c r="DI96" s="63"/>
      <c r="DJ96" s="63"/>
      <c r="DK96" s="63"/>
      <c r="DL96" s="63"/>
      <c r="DN96" s="86"/>
      <c r="DO96" s="86"/>
      <c r="DP96" s="86"/>
      <c r="DR96" s="63"/>
      <c r="DS96" s="54"/>
      <c r="DT96" s="54"/>
      <c r="DU96" s="54"/>
      <c r="DV96" s="54"/>
      <c r="DW96" s="54"/>
      <c r="DX96" s="54"/>
      <c r="DY96" s="63"/>
      <c r="DZ96" s="63"/>
      <c r="EA96" s="63"/>
      <c r="EB96" s="63"/>
      <c r="EC96" s="63"/>
      <c r="EE96" s="86"/>
      <c r="EF96" s="86"/>
      <c r="EG96" s="86"/>
      <c r="EI96" s="63"/>
      <c r="EJ96" s="54"/>
      <c r="EK96" s="54"/>
      <c r="EL96" s="54"/>
      <c r="EM96" s="54"/>
      <c r="EN96" s="89"/>
      <c r="EQ96" s="86"/>
      <c r="ER96" s="86"/>
      <c r="EX96" s="54"/>
      <c r="EZ96" s="54"/>
      <c r="FA96" s="54"/>
      <c r="FB96" s="54"/>
      <c r="FC96" s="54"/>
      <c r="FD96" s="89"/>
      <c r="FG96" s="86"/>
      <c r="FH96" s="253"/>
      <c r="FL96" s="45"/>
      <c r="FP96" s="54"/>
      <c r="FQ96" s="54"/>
      <c r="FR96" s="54"/>
      <c r="FS96" s="54"/>
      <c r="FT96" s="63"/>
      <c r="FU96" s="54"/>
      <c r="FV96" s="54"/>
      <c r="FW96" s="54"/>
      <c r="FX96" s="86"/>
      <c r="FY96" s="86"/>
      <c r="FZ96" s="102"/>
      <c r="GA96" s="86"/>
      <c r="GB96" s="86"/>
      <c r="GD96" s="63"/>
      <c r="GE96" s="63"/>
      <c r="GF96" s="63"/>
      <c r="GG96" s="63"/>
      <c r="GH96" s="45"/>
      <c r="GI96" s="54"/>
      <c r="GJ96" s="54"/>
      <c r="GL96" s="86"/>
      <c r="GN96" s="54"/>
      <c r="GO96" s="54"/>
      <c r="GP96" s="54"/>
      <c r="GQ96" s="54"/>
      <c r="GR96" s="86"/>
      <c r="GS96" s="86"/>
      <c r="GU96" s="63"/>
      <c r="GV96" s="63"/>
      <c r="GW96" s="63"/>
      <c r="GX96" s="63"/>
      <c r="GZ96" s="63"/>
      <c r="HA96" s="54"/>
      <c r="HD96" s="86"/>
      <c r="HE96" s="54"/>
      <c r="HF96" s="54"/>
      <c r="HG96" s="54"/>
      <c r="HH96" s="54"/>
      <c r="HI96" s="86"/>
      <c r="HJ96" s="86"/>
      <c r="HQ96" s="63"/>
      <c r="HR96" s="54"/>
      <c r="HU96" s="86"/>
      <c r="HV96" s="54"/>
      <c r="HW96" s="54"/>
      <c r="HX96" s="54"/>
      <c r="HY96" s="54"/>
      <c r="HZ96" s="86"/>
      <c r="IA96" s="86"/>
      <c r="IF96" s="54"/>
      <c r="IH96" s="89"/>
      <c r="IK96" s="86"/>
      <c r="IL96" s="54"/>
      <c r="IM96" s="54"/>
      <c r="IN96" s="54"/>
      <c r="IO96" s="54"/>
      <c r="JB96" s="54"/>
      <c r="JC96" s="54"/>
      <c r="JD96" s="54"/>
      <c r="JE96" s="54"/>
    </row>
    <row r="97" spans="1:265">
      <c r="A97" s="86">
        <v>67</v>
      </c>
      <c r="B97" s="117"/>
      <c r="C97" s="117"/>
      <c r="D97" s="117"/>
      <c r="E97" s="117"/>
      <c r="K97" s="117"/>
      <c r="L97" s="45"/>
      <c r="M97" s="45"/>
      <c r="N97" s="45"/>
      <c r="O97" s="45"/>
      <c r="P97" s="45"/>
      <c r="Q97" s="45"/>
      <c r="R97" s="45"/>
      <c r="S97" s="117"/>
      <c r="T97" s="117"/>
      <c r="U97" s="74"/>
      <c r="V97" s="74"/>
      <c r="W97" s="74"/>
      <c r="X97" s="74"/>
      <c r="Y97" s="74"/>
      <c r="Z97" s="74"/>
      <c r="AA97" s="74"/>
      <c r="AB97" s="74"/>
      <c r="AC97" s="117"/>
      <c r="AD97" s="117"/>
      <c r="AE97" s="117"/>
      <c r="AF97" s="117"/>
      <c r="AG97" s="117"/>
      <c r="AH97" s="117"/>
      <c r="AI97" s="117"/>
      <c r="AJ97" s="117"/>
      <c r="AK97" s="117"/>
      <c r="AL97" s="117"/>
      <c r="AM97" s="117"/>
      <c r="AN97" s="117"/>
      <c r="AO97" s="117"/>
      <c r="AP97" s="117"/>
      <c r="AQ97" s="117"/>
      <c r="AR97" s="300"/>
      <c r="AS97" s="300"/>
      <c r="AT97" s="86"/>
      <c r="AU97" s="162"/>
      <c r="AV97" s="162"/>
      <c r="AW97" s="162"/>
      <c r="AX97" s="162"/>
      <c r="AY97" s="162"/>
      <c r="BB97" s="45"/>
      <c r="BC97" s="45"/>
      <c r="BD97" s="117"/>
      <c r="BE97" s="117"/>
      <c r="BF97" s="99"/>
      <c r="BG97" s="99"/>
      <c r="BH97" s="54"/>
      <c r="BI97" s="117"/>
      <c r="BJ97" s="117"/>
      <c r="BK97" s="117"/>
      <c r="BL97" s="117"/>
      <c r="BM97" s="117"/>
      <c r="BN97" s="117"/>
      <c r="BO97" s="117"/>
      <c r="BP97" s="117"/>
      <c r="BQ97" s="117"/>
      <c r="BR97" s="117"/>
      <c r="BS97" s="117"/>
      <c r="BT97" s="117"/>
      <c r="BU97" s="117"/>
      <c r="BV97" s="117"/>
      <c r="BW97" s="117"/>
      <c r="BX97" s="102"/>
      <c r="BY97" s="102"/>
      <c r="BZ97" s="102"/>
      <c r="CD97" s="5"/>
      <c r="CE97" s="5"/>
      <c r="CF97" s="5"/>
      <c r="CG97" s="46"/>
      <c r="CH97" s="86"/>
      <c r="CI97" s="86"/>
      <c r="CJ97" s="86"/>
      <c r="CL97" s="63"/>
      <c r="CM97" s="54"/>
      <c r="CN97" s="152"/>
      <c r="CO97" s="54"/>
      <c r="CP97" s="54"/>
      <c r="CQ97" s="86"/>
      <c r="CR97" s="63"/>
      <c r="CS97" s="63"/>
      <c r="CT97" s="63"/>
      <c r="CU97" s="63"/>
      <c r="CV97" s="86"/>
      <c r="CW97" s="86"/>
      <c r="CX97" s="86"/>
      <c r="DA97" s="54"/>
      <c r="DB97" s="54"/>
      <c r="DC97" s="54"/>
      <c r="DD97" s="54"/>
      <c r="DE97" s="54"/>
      <c r="DF97" s="54"/>
      <c r="DG97" s="54"/>
      <c r="DH97" s="63"/>
      <c r="DI97" s="63"/>
      <c r="DJ97" s="63"/>
      <c r="DK97" s="63"/>
      <c r="DL97" s="63"/>
      <c r="DN97" s="86"/>
      <c r="DO97" s="86"/>
      <c r="DP97" s="86"/>
      <c r="DR97" s="63"/>
      <c r="DS97" s="54"/>
      <c r="DT97" s="54"/>
      <c r="DU97" s="54"/>
      <c r="DV97" s="54"/>
      <c r="DW97" s="54"/>
      <c r="DX97" s="54"/>
      <c r="DY97" s="63"/>
      <c r="DZ97" s="63"/>
      <c r="EA97" s="63"/>
      <c r="EB97" s="63"/>
      <c r="EC97" s="63"/>
      <c r="EE97" s="86"/>
      <c r="EF97" s="86"/>
      <c r="EG97" s="86"/>
      <c r="EI97" s="63"/>
      <c r="EJ97" s="54"/>
      <c r="EK97" s="54"/>
      <c r="EL97" s="54"/>
      <c r="EM97" s="54"/>
      <c r="EN97" s="54"/>
      <c r="EQ97" s="86"/>
      <c r="ER97" s="86"/>
      <c r="EX97" s="54"/>
      <c r="EZ97" s="54"/>
      <c r="FA97" s="54"/>
      <c r="FB97" s="54"/>
      <c r="FC97" s="54"/>
      <c r="FD97" s="89"/>
      <c r="FG97" s="86"/>
      <c r="FH97" s="253"/>
      <c r="FL97" s="45"/>
      <c r="FP97" s="54"/>
      <c r="FQ97" s="54"/>
      <c r="FR97" s="54"/>
      <c r="FS97" s="54"/>
      <c r="FT97" s="63"/>
      <c r="FU97" s="54"/>
      <c r="FV97" s="54"/>
      <c r="FW97" s="54"/>
      <c r="FX97" s="86"/>
      <c r="FY97" s="86"/>
      <c r="FZ97" s="102"/>
      <c r="GA97" s="86"/>
      <c r="GB97" s="86"/>
      <c r="GD97" s="63"/>
      <c r="GE97" s="63"/>
      <c r="GF97" s="63"/>
      <c r="GG97" s="63"/>
      <c r="GH97" s="45"/>
      <c r="GI97" s="54"/>
      <c r="GJ97" s="54"/>
      <c r="GL97" s="86"/>
      <c r="GN97" s="54"/>
      <c r="GO97" s="54"/>
      <c r="GP97" s="54"/>
      <c r="GQ97" s="54"/>
      <c r="GR97" s="86"/>
      <c r="GS97" s="86"/>
      <c r="GU97" s="63"/>
      <c r="GV97" s="63"/>
      <c r="GW97" s="63"/>
      <c r="GX97" s="63"/>
      <c r="GZ97" s="63"/>
      <c r="HA97" s="54"/>
      <c r="HD97" s="86"/>
      <c r="HE97" s="54"/>
      <c r="HF97" s="54"/>
      <c r="HG97" s="54"/>
      <c r="HH97" s="54"/>
      <c r="HI97" s="86"/>
      <c r="HJ97" s="86"/>
      <c r="HQ97" s="63"/>
      <c r="HR97" s="54"/>
      <c r="HU97" s="86"/>
      <c r="HV97" s="54"/>
      <c r="HW97" s="54"/>
      <c r="HX97" s="54"/>
      <c r="HY97" s="54"/>
      <c r="HZ97" s="86"/>
      <c r="IA97" s="86"/>
      <c r="IF97" s="54"/>
      <c r="IH97" s="89"/>
      <c r="IK97" s="86"/>
      <c r="IL97" s="54"/>
      <c r="IM97" s="54"/>
      <c r="IN97" s="54"/>
      <c r="IO97" s="54"/>
      <c r="JB97" s="54"/>
      <c r="JC97" s="54"/>
      <c r="JD97" s="54"/>
      <c r="JE97" s="54"/>
    </row>
    <row r="98" spans="1:265">
      <c r="A98" s="86">
        <v>68</v>
      </c>
      <c r="B98" s="117"/>
      <c r="C98" s="117"/>
      <c r="D98" s="117"/>
      <c r="E98" s="117"/>
      <c r="K98" s="117"/>
      <c r="L98" s="45"/>
      <c r="M98" s="45"/>
      <c r="N98" s="45"/>
      <c r="O98" s="45"/>
      <c r="P98" s="45"/>
      <c r="Q98" s="45"/>
      <c r="R98" s="45"/>
      <c r="S98" s="117"/>
      <c r="T98" s="117"/>
      <c r="U98" s="74"/>
      <c r="V98" s="74"/>
      <c r="W98" s="74"/>
      <c r="X98" s="74"/>
      <c r="Y98" s="74"/>
      <c r="Z98" s="74"/>
      <c r="AA98" s="74"/>
      <c r="AB98" s="74"/>
      <c r="AC98" s="117"/>
      <c r="AD98" s="117"/>
      <c r="AE98" s="117"/>
      <c r="AF98" s="117"/>
      <c r="AG98" s="117"/>
      <c r="AH98" s="117"/>
      <c r="AI98" s="117"/>
      <c r="AJ98" s="117"/>
      <c r="AK98" s="117"/>
      <c r="AL98" s="117"/>
      <c r="AM98" s="117"/>
      <c r="AN98" s="117"/>
      <c r="AO98" s="117"/>
      <c r="AP98" s="117"/>
      <c r="AQ98" s="117"/>
      <c r="AR98" s="300"/>
      <c r="AS98" s="300"/>
      <c r="AT98" s="86"/>
      <c r="AU98" s="162"/>
      <c r="AV98" s="162"/>
      <c r="AW98" s="162"/>
      <c r="AX98" s="162"/>
      <c r="AY98" s="162"/>
      <c r="BB98" s="45"/>
      <c r="BC98" s="45"/>
      <c r="BD98" s="117"/>
      <c r="BE98" s="117"/>
      <c r="BF98" s="99"/>
      <c r="BG98" s="99"/>
      <c r="BH98" s="54"/>
      <c r="BI98" s="117"/>
      <c r="BJ98" s="117"/>
      <c r="BK98" s="117"/>
      <c r="BL98" s="117"/>
      <c r="BM98" s="117"/>
      <c r="BN98" s="117"/>
      <c r="BO98" s="117"/>
      <c r="BP98" s="117"/>
      <c r="BQ98" s="117"/>
      <c r="BR98" s="117"/>
      <c r="BS98" s="117"/>
      <c r="BT98" s="117"/>
      <c r="BU98" s="117"/>
      <c r="BV98" s="117"/>
      <c r="BW98" s="117"/>
      <c r="BX98" s="102"/>
      <c r="BY98" s="102"/>
      <c r="BZ98" s="102"/>
      <c r="CD98" s="5"/>
      <c r="CE98" s="5"/>
      <c r="CF98" s="5"/>
      <c r="CG98" s="46"/>
      <c r="CH98" s="86"/>
      <c r="CI98" s="86"/>
      <c r="CJ98" s="86"/>
      <c r="CL98" s="63"/>
      <c r="CM98" s="54"/>
      <c r="CN98" s="152"/>
      <c r="CO98" s="54"/>
      <c r="CP98" s="54"/>
      <c r="CQ98" s="86"/>
      <c r="CR98" s="63"/>
      <c r="CS98" s="63"/>
      <c r="CT98" s="63"/>
      <c r="CU98" s="63"/>
      <c r="CV98" s="86"/>
      <c r="CW98" s="86"/>
      <c r="CX98" s="86"/>
      <c r="DA98" s="54"/>
      <c r="DB98" s="54"/>
      <c r="DC98" s="54"/>
      <c r="DD98" s="54"/>
      <c r="DE98" s="54"/>
      <c r="DF98" s="54"/>
      <c r="DG98" s="54"/>
      <c r="DH98" s="63"/>
      <c r="DI98" s="63"/>
      <c r="DJ98" s="63"/>
      <c r="DK98" s="63"/>
      <c r="DL98" s="63"/>
      <c r="DN98" s="86"/>
      <c r="DO98" s="86"/>
      <c r="DP98" s="86"/>
      <c r="DR98" s="63"/>
      <c r="DS98" s="54"/>
      <c r="DT98" s="54"/>
      <c r="DU98" s="54"/>
      <c r="DV98" s="54"/>
      <c r="DW98" s="54"/>
      <c r="DX98" s="54"/>
      <c r="DY98" s="63"/>
      <c r="DZ98" s="63"/>
      <c r="EA98" s="63"/>
      <c r="EB98" s="63"/>
      <c r="EC98" s="63"/>
      <c r="EE98" s="86"/>
      <c r="EF98" s="86"/>
      <c r="EG98" s="86"/>
      <c r="EI98" s="63"/>
      <c r="EJ98" s="54"/>
      <c r="EK98" s="54"/>
      <c r="EL98" s="54"/>
      <c r="EM98" s="54"/>
      <c r="EN98" s="54"/>
      <c r="EQ98" s="86"/>
      <c r="ER98" s="86"/>
      <c r="EX98" s="54"/>
      <c r="EZ98" s="54"/>
      <c r="FA98" s="54"/>
      <c r="FB98" s="54"/>
      <c r="FC98" s="54"/>
      <c r="FD98" s="89"/>
      <c r="FG98" s="86"/>
      <c r="FH98" s="253"/>
      <c r="FL98" s="45"/>
      <c r="FP98" s="54"/>
      <c r="FQ98" s="54"/>
      <c r="FR98" s="54"/>
      <c r="FS98" s="54"/>
      <c r="FT98" s="63"/>
      <c r="FU98" s="54"/>
      <c r="FV98" s="54"/>
      <c r="FW98" s="54"/>
      <c r="FX98" s="86"/>
      <c r="FY98" s="86"/>
      <c r="FZ98" s="102"/>
      <c r="GA98" s="86"/>
      <c r="GB98" s="86"/>
      <c r="GD98" s="63"/>
      <c r="GE98" s="63"/>
      <c r="GF98" s="63"/>
      <c r="GG98" s="63"/>
      <c r="GH98" s="45"/>
      <c r="GI98" s="54"/>
      <c r="GJ98" s="54"/>
      <c r="GL98" s="86"/>
      <c r="GN98" s="54"/>
      <c r="GO98" s="54"/>
      <c r="GP98" s="54"/>
      <c r="GQ98" s="54"/>
      <c r="GR98" s="86"/>
      <c r="GS98" s="86"/>
      <c r="GU98" s="63"/>
      <c r="GV98" s="63"/>
      <c r="GW98" s="63"/>
      <c r="GX98" s="63"/>
      <c r="GZ98" s="63"/>
      <c r="HA98" s="54"/>
      <c r="HD98" s="86"/>
      <c r="HE98" s="54"/>
      <c r="HF98" s="54"/>
      <c r="HG98" s="54"/>
      <c r="HH98" s="54"/>
      <c r="HI98" s="86"/>
      <c r="HJ98" s="86"/>
      <c r="HQ98" s="63"/>
      <c r="HR98" s="54"/>
      <c r="HU98" s="86"/>
      <c r="HV98" s="54"/>
      <c r="HW98" s="54"/>
      <c r="HX98" s="54"/>
      <c r="HY98" s="54"/>
      <c r="HZ98" s="86"/>
      <c r="IA98" s="86"/>
      <c r="IF98" s="54"/>
      <c r="IH98" s="89"/>
      <c r="IK98" s="86"/>
      <c r="IL98" s="54"/>
      <c r="IM98" s="54"/>
      <c r="IN98" s="54"/>
      <c r="IO98" s="54"/>
      <c r="JB98" s="54"/>
      <c r="JC98" s="54"/>
      <c r="JD98" s="54"/>
      <c r="JE98" s="54"/>
    </row>
    <row r="99" spans="1:265">
      <c r="A99" s="86">
        <v>69</v>
      </c>
      <c r="B99" s="117"/>
      <c r="C99" s="117"/>
      <c r="D99" s="117"/>
      <c r="E99" s="117"/>
      <c r="K99" s="117"/>
      <c r="L99" s="45"/>
      <c r="M99" s="45"/>
      <c r="N99" s="45"/>
      <c r="O99" s="45"/>
      <c r="P99" s="45"/>
      <c r="Q99" s="45"/>
      <c r="R99" s="45"/>
      <c r="S99" s="117"/>
      <c r="T99" s="117"/>
      <c r="U99" s="74"/>
      <c r="V99" s="74"/>
      <c r="W99" s="74"/>
      <c r="X99" s="74"/>
      <c r="Y99" s="74"/>
      <c r="Z99" s="74"/>
      <c r="AA99" s="74"/>
      <c r="AB99" s="74"/>
      <c r="AC99" s="117"/>
      <c r="AD99" s="117"/>
      <c r="AE99" s="117"/>
      <c r="AF99" s="117"/>
      <c r="AG99" s="117"/>
      <c r="AH99" s="117"/>
      <c r="AI99" s="117"/>
      <c r="AJ99" s="117"/>
      <c r="AK99" s="117"/>
      <c r="AL99" s="117"/>
      <c r="AM99" s="117"/>
      <c r="AN99" s="117"/>
      <c r="AO99" s="117"/>
      <c r="AP99" s="117"/>
      <c r="AQ99" s="117"/>
      <c r="AR99" s="300"/>
      <c r="AS99" s="300"/>
      <c r="AT99" s="86"/>
      <c r="AU99" s="162"/>
      <c r="AV99" s="162"/>
      <c r="AW99" s="162"/>
      <c r="AX99" s="162"/>
      <c r="AY99" s="162"/>
      <c r="BB99" s="45"/>
      <c r="BC99" s="45"/>
      <c r="BD99" s="117"/>
      <c r="BE99" s="117"/>
      <c r="BF99" s="99"/>
      <c r="BG99" s="99"/>
      <c r="BH99" s="54"/>
      <c r="BI99" s="117"/>
      <c r="BJ99" s="117"/>
      <c r="BK99" s="117"/>
      <c r="BL99" s="117"/>
      <c r="BM99" s="117"/>
      <c r="BN99" s="117"/>
      <c r="BO99" s="117"/>
      <c r="BP99" s="117"/>
      <c r="BQ99" s="117"/>
      <c r="BR99" s="117"/>
      <c r="BS99" s="117"/>
      <c r="BT99" s="117"/>
      <c r="BU99" s="117"/>
      <c r="BV99" s="117"/>
      <c r="BW99" s="117"/>
      <c r="BX99" s="102"/>
      <c r="BY99" s="102"/>
      <c r="BZ99" s="102"/>
      <c r="CD99" s="5"/>
      <c r="CE99" s="5"/>
      <c r="CF99" s="5"/>
      <c r="CG99" s="46"/>
      <c r="CH99" s="86"/>
      <c r="CI99" s="86"/>
      <c r="CJ99" s="86"/>
      <c r="CL99" s="63"/>
      <c r="CM99" s="54"/>
      <c r="CN99" s="152"/>
      <c r="CO99" s="54"/>
      <c r="CP99" s="54"/>
      <c r="CQ99" s="86"/>
      <c r="CR99" s="63"/>
      <c r="CS99" s="63"/>
      <c r="CT99" s="63"/>
      <c r="CU99" s="63"/>
      <c r="CV99" s="86"/>
      <c r="CW99" s="86"/>
      <c r="CX99" s="86"/>
      <c r="DA99" s="54"/>
      <c r="DB99" s="54"/>
      <c r="DC99" s="54"/>
      <c r="DD99" s="54"/>
      <c r="DE99" s="54"/>
      <c r="DF99" s="54"/>
      <c r="DG99" s="54"/>
      <c r="DH99" s="63"/>
      <c r="DI99" s="63"/>
      <c r="DJ99" s="63"/>
      <c r="DK99" s="63"/>
      <c r="DL99" s="63"/>
      <c r="DN99" s="86"/>
      <c r="DO99" s="86"/>
      <c r="DP99" s="86"/>
      <c r="DR99" s="63"/>
      <c r="DS99" s="54"/>
      <c r="DT99" s="54"/>
      <c r="DU99" s="54"/>
      <c r="DV99" s="54"/>
      <c r="DW99" s="54"/>
      <c r="DX99" s="54"/>
      <c r="DY99" s="63"/>
      <c r="DZ99" s="63"/>
      <c r="EA99" s="63"/>
      <c r="EB99" s="63"/>
      <c r="EC99" s="63"/>
      <c r="EE99" s="86"/>
      <c r="EF99" s="86"/>
      <c r="EG99" s="86"/>
      <c r="EI99" s="63"/>
      <c r="EJ99" s="54"/>
      <c r="EK99" s="54"/>
      <c r="EL99" s="54"/>
      <c r="EM99" s="54"/>
      <c r="EN99" s="54"/>
      <c r="EQ99" s="86"/>
      <c r="ER99" s="86"/>
      <c r="EX99" s="54"/>
      <c r="EZ99" s="54"/>
      <c r="FA99" s="54"/>
      <c r="FB99" s="54"/>
      <c r="FC99" s="54"/>
      <c r="FD99" s="89"/>
      <c r="FG99" s="86"/>
      <c r="FH99" s="253"/>
      <c r="FL99" s="45"/>
      <c r="FP99" s="54"/>
      <c r="FQ99" s="54"/>
      <c r="FR99" s="54"/>
      <c r="FS99" s="54"/>
      <c r="FT99" s="63"/>
      <c r="FU99" s="54"/>
      <c r="FV99" s="54"/>
      <c r="FW99" s="54"/>
      <c r="FX99" s="86"/>
      <c r="FY99" s="86"/>
      <c r="FZ99" s="102"/>
      <c r="GA99" s="86"/>
      <c r="GB99" s="86"/>
      <c r="GD99" s="63"/>
      <c r="GE99" s="63"/>
      <c r="GF99" s="63"/>
      <c r="GG99" s="63"/>
      <c r="GH99" s="45"/>
      <c r="GI99" s="54"/>
      <c r="GJ99" s="54"/>
      <c r="GL99" s="86"/>
      <c r="GN99" s="54"/>
      <c r="GO99" s="54"/>
      <c r="GP99" s="54"/>
      <c r="GQ99" s="54"/>
      <c r="GR99" s="86"/>
      <c r="GS99" s="86"/>
      <c r="GU99" s="63"/>
      <c r="GV99" s="63"/>
      <c r="GW99" s="63"/>
      <c r="GX99" s="63"/>
      <c r="GZ99" s="63"/>
      <c r="HA99" s="54"/>
      <c r="HD99" s="86"/>
      <c r="HE99" s="54"/>
      <c r="HF99" s="54"/>
      <c r="HG99" s="54"/>
      <c r="HH99" s="54"/>
      <c r="HI99" s="86"/>
      <c r="HJ99" s="86"/>
      <c r="HQ99" s="63"/>
      <c r="HR99" s="54"/>
      <c r="HU99" s="86"/>
      <c r="HV99" s="54"/>
      <c r="HW99" s="54"/>
      <c r="HX99" s="54"/>
      <c r="HY99" s="54"/>
      <c r="HZ99" s="86"/>
      <c r="IA99" s="86"/>
      <c r="IF99" s="54"/>
      <c r="IH99" s="89"/>
      <c r="IK99" s="86"/>
      <c r="IL99" s="54"/>
      <c r="IM99" s="54"/>
      <c r="IN99" s="54"/>
      <c r="IO99" s="54"/>
      <c r="JB99" s="54"/>
      <c r="JC99" s="54"/>
      <c r="JD99" s="54"/>
      <c r="JE99" s="54"/>
    </row>
    <row r="100" spans="1:265">
      <c r="A100" s="86">
        <v>70</v>
      </c>
      <c r="B100" s="117"/>
      <c r="C100" s="117"/>
      <c r="D100" s="117"/>
      <c r="E100" s="117"/>
      <c r="K100" s="117"/>
      <c r="L100" s="45"/>
      <c r="M100" s="45"/>
      <c r="N100" s="45"/>
      <c r="O100" s="45"/>
      <c r="P100" s="45"/>
      <c r="Q100" s="45"/>
      <c r="R100" s="45"/>
      <c r="S100" s="117"/>
      <c r="T100" s="117"/>
      <c r="U100" s="74"/>
      <c r="V100" s="74"/>
      <c r="W100" s="74"/>
      <c r="X100" s="74"/>
      <c r="Y100" s="74"/>
      <c r="Z100" s="74"/>
      <c r="AA100" s="74"/>
      <c r="AB100" s="74"/>
      <c r="AC100" s="117"/>
      <c r="AD100" s="117"/>
      <c r="AE100" s="117"/>
      <c r="AF100" s="117"/>
      <c r="AG100" s="117"/>
      <c r="AH100" s="117"/>
      <c r="AI100" s="117"/>
      <c r="AJ100" s="117"/>
      <c r="AK100" s="117"/>
      <c r="AL100" s="117"/>
      <c r="AM100" s="117"/>
      <c r="AN100" s="117"/>
      <c r="AO100" s="117"/>
      <c r="AP100" s="117"/>
      <c r="AQ100" s="117"/>
      <c r="AR100" s="300"/>
      <c r="AS100" s="300"/>
      <c r="AT100" s="86"/>
      <c r="AU100" s="162"/>
      <c r="AV100" s="162"/>
      <c r="AW100" s="162"/>
      <c r="AX100" s="162"/>
      <c r="AY100" s="162"/>
      <c r="BB100" s="45"/>
      <c r="BC100" s="45"/>
      <c r="BD100" s="117"/>
      <c r="BE100" s="117"/>
      <c r="BF100" s="99"/>
      <c r="BG100" s="99"/>
      <c r="BH100" s="54"/>
      <c r="BI100" s="117"/>
      <c r="BJ100" s="117"/>
      <c r="BK100" s="117"/>
      <c r="BL100" s="117"/>
      <c r="BM100" s="117"/>
      <c r="BN100" s="117"/>
      <c r="BO100" s="117"/>
      <c r="BP100" s="117"/>
      <c r="BQ100" s="117"/>
      <c r="BR100" s="117"/>
      <c r="BS100" s="117"/>
      <c r="BT100" s="117"/>
      <c r="BU100" s="117"/>
      <c r="BV100" s="117"/>
      <c r="BW100" s="117"/>
      <c r="BX100" s="102"/>
      <c r="BY100" s="102"/>
      <c r="BZ100" s="102"/>
      <c r="CD100" s="5"/>
      <c r="CE100" s="5"/>
      <c r="CF100" s="5"/>
      <c r="CG100" s="46"/>
      <c r="CH100" s="86"/>
      <c r="CI100" s="86"/>
      <c r="CJ100" s="86"/>
      <c r="CL100" s="63"/>
      <c r="CM100" s="54"/>
      <c r="CN100" s="152"/>
      <c r="CO100" s="54"/>
      <c r="CP100" s="54"/>
      <c r="CQ100" s="86"/>
      <c r="CR100" s="63"/>
      <c r="CS100" s="63"/>
      <c r="CT100" s="63"/>
      <c r="CU100" s="63"/>
      <c r="CV100" s="86"/>
      <c r="CW100" s="86"/>
      <c r="CX100" s="86"/>
      <c r="DA100" s="54"/>
      <c r="DB100" s="54"/>
      <c r="DC100" s="54"/>
      <c r="DD100" s="54"/>
      <c r="DE100" s="54"/>
      <c r="DF100" s="54"/>
      <c r="DG100" s="54"/>
      <c r="DH100" s="63"/>
      <c r="DI100" s="63"/>
      <c r="DJ100" s="63"/>
      <c r="DK100" s="63"/>
      <c r="DL100" s="63"/>
      <c r="DN100" s="86"/>
      <c r="DO100" s="86"/>
      <c r="DP100" s="86"/>
      <c r="DR100" s="63"/>
      <c r="DS100" s="54"/>
      <c r="DT100" s="54"/>
      <c r="DU100" s="54"/>
      <c r="DV100" s="54"/>
      <c r="DW100" s="54"/>
      <c r="DX100" s="54"/>
      <c r="DY100" s="63"/>
      <c r="DZ100" s="63"/>
      <c r="EA100" s="63"/>
      <c r="EB100" s="63"/>
      <c r="EC100" s="63"/>
      <c r="EE100" s="86"/>
      <c r="EF100" s="86"/>
      <c r="EG100" s="86"/>
      <c r="EI100" s="63"/>
      <c r="EJ100" s="54"/>
      <c r="EK100" s="54"/>
      <c r="EL100" s="54"/>
      <c r="EM100" s="54"/>
      <c r="EN100" s="54"/>
      <c r="EQ100" s="86"/>
      <c r="ER100" s="86"/>
      <c r="EX100" s="54"/>
      <c r="EZ100" s="54"/>
      <c r="FA100" s="54"/>
      <c r="FB100" s="54"/>
      <c r="FC100" s="54"/>
      <c r="FD100" s="89"/>
      <c r="FG100" s="86"/>
      <c r="FH100" s="253"/>
      <c r="FL100" s="45"/>
      <c r="FP100" s="54"/>
      <c r="FQ100" s="54"/>
      <c r="FR100" s="54"/>
      <c r="FS100" s="54"/>
      <c r="FT100" s="63"/>
      <c r="FU100" s="54"/>
      <c r="FV100" s="54"/>
      <c r="FW100" s="54"/>
      <c r="FX100" s="86"/>
      <c r="FY100" s="86"/>
      <c r="FZ100" s="102"/>
      <c r="GA100" s="86"/>
      <c r="GB100" s="86"/>
      <c r="GD100" s="63"/>
      <c r="GE100" s="63"/>
      <c r="GF100" s="63"/>
      <c r="GG100" s="63"/>
      <c r="GH100" s="45"/>
      <c r="GI100" s="54"/>
      <c r="GJ100" s="54"/>
      <c r="GL100" s="86"/>
      <c r="GN100" s="54"/>
      <c r="GO100" s="54"/>
      <c r="GP100" s="54"/>
      <c r="GQ100" s="54"/>
      <c r="GR100" s="86"/>
      <c r="GS100" s="86"/>
      <c r="GU100" s="63"/>
      <c r="GV100" s="63"/>
      <c r="GW100" s="63"/>
      <c r="GX100" s="63"/>
      <c r="GZ100" s="63"/>
      <c r="HA100" s="54"/>
      <c r="HD100" s="86"/>
      <c r="HE100" s="54"/>
      <c r="HF100" s="54"/>
      <c r="HG100" s="54"/>
      <c r="HH100" s="54"/>
      <c r="HI100" s="86"/>
      <c r="HJ100" s="86"/>
      <c r="HQ100" s="63"/>
      <c r="HR100" s="54"/>
      <c r="HU100" s="86"/>
      <c r="HV100" s="54"/>
      <c r="HW100" s="54"/>
      <c r="HX100" s="54"/>
      <c r="HY100" s="54"/>
      <c r="HZ100" s="86"/>
      <c r="IA100" s="86"/>
      <c r="IF100" s="54"/>
      <c r="IH100" s="89"/>
      <c r="IK100" s="86"/>
      <c r="IL100" s="54"/>
      <c r="IM100" s="54"/>
      <c r="IN100" s="54"/>
      <c r="IO100" s="54"/>
      <c r="JB100" s="54"/>
      <c r="JC100" s="54"/>
      <c r="JD100" s="54"/>
      <c r="JE100" s="54"/>
    </row>
    <row r="101" spans="1:265">
      <c r="A101" s="86">
        <v>71</v>
      </c>
      <c r="B101" s="117"/>
      <c r="C101" s="117"/>
      <c r="D101" s="117"/>
      <c r="E101" s="117"/>
      <c r="K101" s="117"/>
      <c r="L101" s="45"/>
      <c r="M101" s="45"/>
      <c r="N101" s="45"/>
      <c r="O101" s="45"/>
      <c r="P101" s="45"/>
      <c r="Q101" s="45"/>
      <c r="R101" s="45"/>
      <c r="S101" s="117"/>
      <c r="T101" s="117"/>
      <c r="U101" s="74"/>
      <c r="V101" s="74"/>
      <c r="W101" s="74"/>
      <c r="X101" s="74"/>
      <c r="Y101" s="74"/>
      <c r="Z101" s="74"/>
      <c r="AA101" s="74"/>
      <c r="AB101" s="74"/>
      <c r="AC101" s="117"/>
      <c r="AD101" s="117"/>
      <c r="AE101" s="117"/>
      <c r="AF101" s="117"/>
      <c r="AG101" s="117"/>
      <c r="AH101" s="117"/>
      <c r="AI101" s="117"/>
      <c r="AJ101" s="117"/>
      <c r="AK101" s="117"/>
      <c r="AL101" s="117"/>
      <c r="AM101" s="117"/>
      <c r="AN101" s="117"/>
      <c r="AO101" s="117"/>
      <c r="AP101" s="117"/>
      <c r="AQ101" s="117"/>
      <c r="AR101" s="300"/>
      <c r="AS101" s="300"/>
      <c r="AT101" s="86"/>
      <c r="AU101" s="162"/>
      <c r="AV101" s="162"/>
      <c r="AW101" s="162"/>
      <c r="AX101" s="162"/>
      <c r="AY101" s="162"/>
      <c r="BB101" s="45"/>
      <c r="BC101" s="45"/>
      <c r="BD101" s="117"/>
      <c r="BE101" s="117"/>
      <c r="BF101" s="99"/>
      <c r="BG101" s="99"/>
      <c r="BH101" s="54"/>
      <c r="BI101" s="117"/>
      <c r="BJ101" s="117"/>
      <c r="BK101" s="117"/>
      <c r="BL101" s="117"/>
      <c r="BM101" s="117"/>
      <c r="BN101" s="117"/>
      <c r="BO101" s="117"/>
      <c r="BP101" s="117"/>
      <c r="BQ101" s="117"/>
      <c r="BR101" s="117"/>
      <c r="BS101" s="117"/>
      <c r="BT101" s="117"/>
      <c r="BU101" s="117"/>
      <c r="BV101" s="117"/>
      <c r="BW101" s="117"/>
      <c r="BX101" s="102"/>
      <c r="BY101" s="102"/>
      <c r="BZ101" s="102"/>
      <c r="CD101" s="5"/>
      <c r="CE101" s="5"/>
      <c r="CF101" s="5"/>
      <c r="CG101" s="46"/>
      <c r="CH101" s="86"/>
      <c r="CI101" s="86"/>
      <c r="CJ101" s="86"/>
      <c r="CL101" s="63"/>
      <c r="CM101" s="54"/>
      <c r="CN101" s="152"/>
      <c r="CO101" s="54"/>
      <c r="CP101" s="54"/>
      <c r="CQ101" s="86"/>
      <c r="CR101" s="63"/>
      <c r="CS101" s="63"/>
      <c r="CT101" s="63"/>
      <c r="CU101" s="63"/>
      <c r="CV101" s="86"/>
      <c r="CW101" s="86"/>
      <c r="CX101" s="86"/>
      <c r="DA101" s="54"/>
      <c r="DB101" s="54"/>
      <c r="DC101" s="54"/>
      <c r="DD101" s="54"/>
      <c r="DE101" s="54"/>
      <c r="DF101" s="54"/>
      <c r="DG101" s="54"/>
      <c r="DH101" s="63"/>
      <c r="DI101" s="63"/>
      <c r="DJ101" s="63"/>
      <c r="DK101" s="63"/>
      <c r="DL101" s="63"/>
      <c r="DN101" s="86"/>
      <c r="DO101" s="86"/>
      <c r="DP101" s="86"/>
      <c r="DR101" s="63"/>
      <c r="DS101" s="54"/>
      <c r="DT101" s="54"/>
      <c r="DU101" s="54"/>
      <c r="DV101" s="54"/>
      <c r="DW101" s="54"/>
      <c r="DX101" s="54"/>
      <c r="DY101" s="63"/>
      <c r="DZ101" s="63"/>
      <c r="EA101" s="63"/>
      <c r="EB101" s="63"/>
      <c r="EC101" s="63"/>
      <c r="EE101" s="86"/>
      <c r="EF101" s="86"/>
      <c r="EG101" s="86"/>
      <c r="EI101" s="63"/>
      <c r="EJ101" s="54"/>
      <c r="EK101" s="54"/>
      <c r="EL101" s="54"/>
      <c r="EM101" s="54"/>
      <c r="EN101" s="54"/>
      <c r="EQ101" s="86"/>
      <c r="ER101" s="86"/>
      <c r="EX101" s="54"/>
      <c r="EZ101" s="54"/>
      <c r="FA101" s="54"/>
      <c r="FB101" s="54"/>
      <c r="FC101" s="54"/>
      <c r="FD101" s="89"/>
      <c r="FG101" s="86"/>
      <c r="FH101" s="253"/>
      <c r="FL101" s="45"/>
      <c r="FP101" s="54"/>
      <c r="FQ101" s="54"/>
      <c r="FR101" s="54"/>
      <c r="FS101" s="54"/>
      <c r="FT101" s="63"/>
      <c r="FU101" s="54"/>
      <c r="FV101" s="54"/>
      <c r="FW101" s="54"/>
      <c r="FX101" s="86"/>
      <c r="FY101" s="86"/>
      <c r="FZ101" s="102"/>
      <c r="GA101" s="86"/>
      <c r="GB101" s="86"/>
      <c r="GD101" s="63"/>
      <c r="GE101" s="63"/>
      <c r="GF101" s="63"/>
      <c r="GG101" s="63"/>
      <c r="GH101" s="45"/>
      <c r="GI101" s="54"/>
      <c r="GJ101" s="54"/>
      <c r="GL101" s="86"/>
      <c r="GN101" s="54"/>
      <c r="GO101" s="54"/>
      <c r="GP101" s="54"/>
      <c r="GQ101" s="54"/>
      <c r="GR101" s="86"/>
      <c r="GS101" s="86"/>
      <c r="GU101" s="63"/>
      <c r="GV101" s="63"/>
      <c r="GW101" s="63"/>
      <c r="GX101" s="63"/>
      <c r="GZ101" s="63"/>
      <c r="HA101" s="54"/>
      <c r="HD101" s="86"/>
      <c r="HE101" s="54"/>
      <c r="HF101" s="54"/>
      <c r="HG101" s="54"/>
      <c r="HH101" s="54"/>
      <c r="HI101" s="86"/>
      <c r="HJ101" s="86"/>
      <c r="HQ101" s="63"/>
      <c r="HR101" s="54"/>
      <c r="HU101" s="86"/>
      <c r="HV101" s="54"/>
      <c r="HW101" s="54"/>
      <c r="HX101" s="54"/>
      <c r="HY101" s="54"/>
      <c r="HZ101" s="86"/>
      <c r="IA101" s="86"/>
      <c r="IF101" s="54"/>
      <c r="IH101" s="89"/>
      <c r="IK101" s="86"/>
      <c r="IL101" s="54"/>
      <c r="IM101" s="54"/>
      <c r="IN101" s="54"/>
      <c r="IO101" s="54"/>
      <c r="JB101" s="54"/>
      <c r="JC101" s="54"/>
      <c r="JD101" s="54"/>
      <c r="JE101" s="54"/>
    </row>
    <row r="102" spans="1:265">
      <c r="A102" s="86">
        <v>72</v>
      </c>
      <c r="B102" s="117"/>
      <c r="C102" s="117"/>
      <c r="D102" s="117"/>
      <c r="E102" s="117"/>
      <c r="K102" s="117"/>
      <c r="L102" s="45"/>
      <c r="M102" s="45"/>
      <c r="N102" s="45"/>
      <c r="O102" s="45"/>
      <c r="P102" s="45"/>
      <c r="Q102" s="45"/>
      <c r="R102" s="45"/>
      <c r="S102" s="117"/>
      <c r="T102" s="117"/>
      <c r="U102" s="74"/>
      <c r="V102" s="74"/>
      <c r="W102" s="74"/>
      <c r="X102" s="74"/>
      <c r="Y102" s="74"/>
      <c r="Z102" s="74"/>
      <c r="AA102" s="74"/>
      <c r="AB102" s="74"/>
      <c r="AC102" s="117"/>
      <c r="AD102" s="117"/>
      <c r="AE102" s="117"/>
      <c r="AF102" s="117"/>
      <c r="AG102" s="117"/>
      <c r="AH102" s="117"/>
      <c r="AI102" s="117"/>
      <c r="AJ102" s="117"/>
      <c r="AK102" s="117"/>
      <c r="AL102" s="117"/>
      <c r="AM102" s="117"/>
      <c r="AN102" s="117"/>
      <c r="AO102" s="117"/>
      <c r="AP102" s="117"/>
      <c r="AQ102" s="117"/>
      <c r="AR102" s="300"/>
      <c r="AS102" s="300"/>
      <c r="AT102" s="86"/>
      <c r="AU102" s="162"/>
      <c r="AV102" s="162"/>
      <c r="AW102" s="162"/>
      <c r="AX102" s="162"/>
      <c r="AY102" s="162"/>
      <c r="BB102" s="45"/>
      <c r="BC102" s="45"/>
      <c r="BD102" s="117"/>
      <c r="BE102" s="117"/>
      <c r="BF102" s="99"/>
      <c r="BG102" s="99"/>
      <c r="BH102" s="54"/>
      <c r="BI102" s="117"/>
      <c r="BJ102" s="117"/>
      <c r="BK102" s="117"/>
      <c r="BL102" s="117"/>
      <c r="BM102" s="117"/>
      <c r="BN102" s="117"/>
      <c r="BO102" s="117"/>
      <c r="BP102" s="117"/>
      <c r="BQ102" s="117"/>
      <c r="BR102" s="117"/>
      <c r="BS102" s="117"/>
      <c r="BT102" s="117"/>
      <c r="BU102" s="117"/>
      <c r="BV102" s="117"/>
      <c r="BW102" s="117"/>
      <c r="BX102" s="102"/>
      <c r="BY102" s="102"/>
      <c r="BZ102" s="102"/>
      <c r="CD102" s="5"/>
      <c r="CE102" s="5"/>
      <c r="CF102" s="5"/>
      <c r="CG102" s="46"/>
      <c r="CH102" s="86"/>
      <c r="CI102" s="86"/>
      <c r="CJ102" s="86"/>
      <c r="CL102" s="63"/>
      <c r="CM102" s="54"/>
      <c r="CN102" s="152"/>
      <c r="CO102" s="54"/>
      <c r="CP102" s="54"/>
      <c r="CQ102" s="86"/>
      <c r="CR102" s="63"/>
      <c r="CS102" s="63"/>
      <c r="CT102" s="63"/>
      <c r="CU102" s="63"/>
      <c r="CV102" s="86"/>
      <c r="CW102" s="86"/>
      <c r="CX102" s="86"/>
      <c r="DA102" s="54"/>
      <c r="DB102" s="54"/>
      <c r="DC102" s="54"/>
      <c r="DD102" s="54"/>
      <c r="DE102" s="54"/>
      <c r="DF102" s="54"/>
      <c r="DG102" s="54"/>
      <c r="DH102" s="63"/>
      <c r="DI102" s="63"/>
      <c r="DJ102" s="63"/>
      <c r="DK102" s="63"/>
      <c r="DL102" s="63"/>
      <c r="DN102" s="86"/>
      <c r="DO102" s="86"/>
      <c r="DP102" s="86"/>
      <c r="DR102" s="63"/>
      <c r="DS102" s="54"/>
      <c r="DT102" s="54"/>
      <c r="DU102" s="54"/>
      <c r="DV102" s="54"/>
      <c r="DW102" s="54"/>
      <c r="DX102" s="54"/>
      <c r="DY102" s="63"/>
      <c r="DZ102" s="63"/>
      <c r="EA102" s="63"/>
      <c r="EB102" s="63"/>
      <c r="EC102" s="63"/>
      <c r="EE102" s="86"/>
      <c r="EF102" s="86"/>
      <c r="EG102" s="86"/>
      <c r="EI102" s="63"/>
      <c r="EJ102" s="54"/>
      <c r="EK102" s="54"/>
      <c r="EL102" s="54"/>
      <c r="EM102" s="54"/>
      <c r="EN102" s="54"/>
      <c r="EQ102" s="86"/>
      <c r="ER102" s="86"/>
      <c r="EX102" s="54"/>
      <c r="EZ102" s="54"/>
      <c r="FA102" s="54"/>
      <c r="FB102" s="54"/>
      <c r="FC102" s="54"/>
      <c r="FD102" s="89"/>
      <c r="FG102" s="86"/>
      <c r="FH102" s="253"/>
      <c r="FL102" s="45"/>
      <c r="FP102" s="54"/>
      <c r="FQ102" s="54"/>
      <c r="FR102" s="54"/>
      <c r="FS102" s="54"/>
      <c r="FT102" s="63"/>
      <c r="FU102" s="54"/>
      <c r="FV102" s="54"/>
      <c r="FW102" s="54"/>
      <c r="FX102" s="86"/>
      <c r="FY102" s="86"/>
      <c r="FZ102" s="102"/>
      <c r="GA102" s="86"/>
      <c r="GB102" s="86"/>
      <c r="GD102" s="63"/>
      <c r="GE102" s="63"/>
      <c r="GF102" s="63"/>
      <c r="GG102" s="63"/>
      <c r="GH102" s="45"/>
      <c r="GI102" s="54"/>
      <c r="GJ102" s="54"/>
      <c r="GL102" s="86"/>
      <c r="GN102" s="54"/>
      <c r="GO102" s="54"/>
      <c r="GP102" s="54"/>
      <c r="GQ102" s="54"/>
      <c r="GR102" s="86"/>
      <c r="GS102" s="86"/>
      <c r="GU102" s="63"/>
      <c r="GV102" s="63"/>
      <c r="GW102" s="63"/>
      <c r="GX102" s="63"/>
      <c r="GZ102" s="63"/>
      <c r="HA102" s="54"/>
      <c r="HD102" s="86"/>
      <c r="HE102" s="54"/>
      <c r="HF102" s="54"/>
      <c r="HG102" s="54"/>
      <c r="HH102" s="54"/>
      <c r="HI102" s="86"/>
      <c r="HJ102" s="86"/>
      <c r="HQ102" s="63"/>
      <c r="HR102" s="54"/>
      <c r="HU102" s="86"/>
      <c r="HV102" s="54"/>
      <c r="HW102" s="54"/>
      <c r="HX102" s="54"/>
      <c r="HY102" s="54"/>
      <c r="HZ102" s="86"/>
      <c r="IA102" s="86"/>
      <c r="IF102" s="54"/>
      <c r="IH102" s="89"/>
      <c r="IK102" s="86"/>
      <c r="IL102" s="54"/>
      <c r="IM102" s="54"/>
      <c r="IN102" s="54"/>
      <c r="IO102" s="54"/>
      <c r="JB102" s="54"/>
      <c r="JC102" s="54"/>
      <c r="JD102" s="54"/>
      <c r="JE102" s="54"/>
    </row>
    <row r="103" spans="1:265">
      <c r="A103" s="86">
        <v>73</v>
      </c>
      <c r="B103" s="117"/>
      <c r="C103" s="117"/>
      <c r="D103" s="117"/>
      <c r="E103" s="117"/>
      <c r="K103" s="117"/>
      <c r="L103" s="45"/>
      <c r="M103" s="45"/>
      <c r="N103" s="45"/>
      <c r="O103" s="45"/>
      <c r="P103" s="45"/>
      <c r="Q103" s="45"/>
      <c r="R103" s="45"/>
      <c r="S103" s="117"/>
      <c r="T103" s="117"/>
      <c r="U103" s="74"/>
      <c r="V103" s="74"/>
      <c r="W103" s="74"/>
      <c r="X103" s="74"/>
      <c r="Y103" s="74"/>
      <c r="Z103" s="74"/>
      <c r="AA103" s="74"/>
      <c r="AB103" s="74"/>
      <c r="AC103" s="117"/>
      <c r="AD103" s="117"/>
      <c r="AE103" s="117"/>
      <c r="AF103" s="117"/>
      <c r="AG103" s="117"/>
      <c r="AH103" s="117"/>
      <c r="AI103" s="117"/>
      <c r="AJ103" s="117"/>
      <c r="AK103" s="117"/>
      <c r="AL103" s="117"/>
      <c r="AM103" s="117"/>
      <c r="AN103" s="117"/>
      <c r="AO103" s="117"/>
      <c r="AP103" s="117"/>
      <c r="AQ103" s="117"/>
      <c r="AR103" s="300"/>
      <c r="AS103" s="300"/>
      <c r="AT103" s="86"/>
      <c r="AU103" s="162"/>
      <c r="AV103" s="162"/>
      <c r="AW103" s="162"/>
      <c r="AX103" s="162"/>
      <c r="AY103" s="162"/>
      <c r="BB103" s="45"/>
      <c r="BC103" s="45"/>
      <c r="BD103" s="117"/>
      <c r="BE103" s="117"/>
      <c r="BF103" s="99"/>
      <c r="BG103" s="99"/>
      <c r="BH103" s="54"/>
      <c r="BI103" s="117"/>
      <c r="BJ103" s="117"/>
      <c r="BK103" s="117"/>
      <c r="BL103" s="117"/>
      <c r="BM103" s="117"/>
      <c r="BN103" s="117"/>
      <c r="BO103" s="117"/>
      <c r="BP103" s="117"/>
      <c r="BQ103" s="117"/>
      <c r="BR103" s="117"/>
      <c r="BS103" s="117"/>
      <c r="BT103" s="117"/>
      <c r="BU103" s="117"/>
      <c r="BV103" s="117"/>
      <c r="BW103" s="117"/>
      <c r="BX103" s="102"/>
      <c r="BY103" s="102"/>
      <c r="BZ103" s="102"/>
      <c r="CD103" s="5"/>
      <c r="CE103" s="5"/>
      <c r="CF103" s="5"/>
      <c r="CG103" s="46"/>
      <c r="CH103" s="86"/>
      <c r="CI103" s="86"/>
      <c r="CJ103" s="86"/>
      <c r="CL103" s="63"/>
      <c r="CM103" s="54"/>
      <c r="CN103" s="152"/>
      <c r="CO103" s="54"/>
      <c r="CP103" s="54"/>
      <c r="CQ103" s="86"/>
      <c r="CR103" s="63"/>
      <c r="CS103" s="63"/>
      <c r="CT103" s="63"/>
      <c r="CU103" s="63"/>
      <c r="CV103" s="86"/>
      <c r="CW103" s="86"/>
      <c r="CX103" s="86"/>
      <c r="DA103" s="54"/>
      <c r="DB103" s="54"/>
      <c r="DC103" s="54"/>
      <c r="DD103" s="54"/>
      <c r="DE103" s="54"/>
      <c r="DF103" s="54"/>
      <c r="DG103" s="54"/>
      <c r="DH103" s="63"/>
      <c r="DI103" s="63"/>
      <c r="DJ103" s="63"/>
      <c r="DK103" s="63"/>
      <c r="DL103" s="63"/>
      <c r="DN103" s="86"/>
      <c r="DO103" s="86"/>
      <c r="DP103" s="86"/>
      <c r="DR103" s="63"/>
      <c r="DS103" s="54"/>
      <c r="DT103" s="54"/>
      <c r="DU103" s="54"/>
      <c r="DV103" s="54"/>
      <c r="DW103" s="54"/>
      <c r="DX103" s="54"/>
      <c r="DY103" s="63"/>
      <c r="DZ103" s="63"/>
      <c r="EA103" s="63"/>
      <c r="EB103" s="63"/>
      <c r="EC103" s="63"/>
      <c r="EE103" s="86"/>
      <c r="EF103" s="86"/>
      <c r="EG103" s="86"/>
      <c r="EI103" s="63"/>
      <c r="EJ103" s="54"/>
      <c r="EK103" s="54"/>
      <c r="EL103" s="54"/>
      <c r="EM103" s="54"/>
      <c r="EN103" s="54"/>
      <c r="EQ103" s="86"/>
      <c r="ER103" s="86"/>
      <c r="EX103" s="54"/>
      <c r="EZ103" s="54"/>
      <c r="FA103" s="54"/>
      <c r="FB103" s="54"/>
      <c r="FC103" s="54"/>
      <c r="FD103" s="89"/>
      <c r="FG103" s="86"/>
      <c r="FH103" s="253"/>
      <c r="FL103" s="45"/>
      <c r="FP103" s="54"/>
      <c r="FQ103" s="54"/>
      <c r="FR103" s="54"/>
      <c r="FS103" s="54"/>
      <c r="FT103" s="63"/>
      <c r="FU103" s="54"/>
      <c r="FV103" s="54"/>
      <c r="FW103" s="54"/>
      <c r="FX103" s="86"/>
      <c r="FY103" s="86"/>
      <c r="FZ103" s="102"/>
      <c r="GA103" s="86"/>
      <c r="GB103" s="86"/>
      <c r="GD103" s="63"/>
      <c r="GE103" s="63"/>
      <c r="GF103" s="63"/>
      <c r="GG103" s="63"/>
      <c r="GH103" s="45"/>
      <c r="GI103" s="54"/>
      <c r="GJ103" s="54"/>
      <c r="GL103" s="86"/>
      <c r="GN103" s="54"/>
      <c r="GO103" s="54"/>
      <c r="GP103" s="54"/>
      <c r="GQ103" s="54"/>
      <c r="GR103" s="86"/>
      <c r="GS103" s="86"/>
      <c r="GU103" s="63"/>
      <c r="GV103" s="63"/>
      <c r="GW103" s="63"/>
      <c r="GX103" s="63"/>
      <c r="GZ103" s="63"/>
      <c r="HA103" s="54"/>
      <c r="HD103" s="86"/>
      <c r="HE103" s="54"/>
      <c r="HF103" s="54"/>
      <c r="HG103" s="54"/>
      <c r="HH103" s="54"/>
      <c r="HI103" s="86"/>
      <c r="HJ103" s="86"/>
      <c r="HQ103" s="63"/>
      <c r="HR103" s="54"/>
      <c r="HU103" s="86"/>
      <c r="HV103" s="54"/>
      <c r="HW103" s="54"/>
      <c r="HX103" s="54"/>
      <c r="HY103" s="54"/>
      <c r="HZ103" s="86"/>
      <c r="IA103" s="86"/>
      <c r="IF103" s="54"/>
      <c r="IH103" s="89"/>
      <c r="IK103" s="86"/>
      <c r="IL103" s="54"/>
      <c r="IM103" s="54"/>
      <c r="IN103" s="54"/>
      <c r="IO103" s="54"/>
      <c r="JB103" s="54"/>
      <c r="JC103" s="54"/>
      <c r="JD103" s="54"/>
      <c r="JE103" s="54"/>
    </row>
    <row r="104" spans="1:265">
      <c r="A104" s="86">
        <v>74</v>
      </c>
      <c r="B104" s="117"/>
      <c r="C104" s="117"/>
      <c r="D104" s="117"/>
      <c r="E104" s="117"/>
      <c r="K104" s="117"/>
      <c r="L104" s="45"/>
      <c r="M104" s="45"/>
      <c r="N104" s="45"/>
      <c r="O104" s="45"/>
      <c r="P104" s="45"/>
      <c r="Q104" s="45"/>
      <c r="R104" s="45"/>
      <c r="S104" s="117"/>
      <c r="T104" s="117"/>
      <c r="U104" s="74"/>
      <c r="V104" s="74"/>
      <c r="W104" s="74"/>
      <c r="X104" s="74"/>
      <c r="Y104" s="74"/>
      <c r="Z104" s="74"/>
      <c r="AA104" s="74"/>
      <c r="AB104" s="74"/>
      <c r="AC104" s="117"/>
      <c r="AD104" s="117"/>
      <c r="AE104" s="117"/>
      <c r="AF104" s="117"/>
      <c r="AG104" s="117"/>
      <c r="AH104" s="117"/>
      <c r="AI104" s="117"/>
      <c r="AJ104" s="117"/>
      <c r="AK104" s="117"/>
      <c r="AL104" s="117"/>
      <c r="AM104" s="117"/>
      <c r="AN104" s="117"/>
      <c r="AO104" s="117"/>
      <c r="AP104" s="117"/>
      <c r="AQ104" s="117"/>
      <c r="AR104" s="300"/>
      <c r="AS104" s="300"/>
      <c r="AT104" s="86"/>
      <c r="AU104" s="162"/>
      <c r="AV104" s="162"/>
      <c r="AW104" s="162"/>
      <c r="AX104" s="162"/>
      <c r="AY104" s="162"/>
      <c r="BB104" s="45"/>
      <c r="BC104" s="45"/>
      <c r="BD104" s="117"/>
      <c r="BE104" s="117"/>
      <c r="BF104" s="99"/>
      <c r="BG104" s="99"/>
      <c r="BH104" s="54"/>
      <c r="BI104" s="117"/>
      <c r="BJ104" s="117"/>
      <c r="BK104" s="117"/>
      <c r="BL104" s="117"/>
      <c r="BM104" s="117"/>
      <c r="BN104" s="117"/>
      <c r="BO104" s="117"/>
      <c r="BP104" s="117"/>
      <c r="BQ104" s="117"/>
      <c r="BR104" s="117"/>
      <c r="BS104" s="117"/>
      <c r="BT104" s="117"/>
      <c r="BU104" s="117"/>
      <c r="BV104" s="117"/>
      <c r="BW104" s="117"/>
      <c r="BX104" s="102"/>
      <c r="BY104" s="102"/>
      <c r="BZ104" s="102"/>
      <c r="CD104" s="5"/>
      <c r="CE104" s="5"/>
      <c r="CF104" s="5"/>
      <c r="CG104" s="46"/>
      <c r="CH104" s="86"/>
      <c r="CI104" s="86"/>
      <c r="CJ104" s="86"/>
      <c r="CL104" s="63"/>
      <c r="CM104" s="54"/>
      <c r="CN104" s="152"/>
      <c r="CO104" s="54"/>
      <c r="CP104" s="54"/>
      <c r="CQ104" s="86"/>
      <c r="CR104" s="63"/>
      <c r="CS104" s="63"/>
      <c r="CT104" s="63"/>
      <c r="CU104" s="63"/>
      <c r="CV104" s="86"/>
      <c r="CW104" s="86"/>
      <c r="CX104" s="86"/>
      <c r="DA104" s="54"/>
      <c r="DB104" s="54"/>
      <c r="DC104" s="54"/>
      <c r="DD104" s="54"/>
      <c r="DE104" s="54"/>
      <c r="DF104" s="54"/>
      <c r="DG104" s="54"/>
      <c r="DH104" s="63"/>
      <c r="DI104" s="63"/>
      <c r="DJ104" s="63"/>
      <c r="DK104" s="63"/>
      <c r="DL104" s="63"/>
      <c r="DN104" s="86"/>
      <c r="DO104" s="86"/>
      <c r="DP104" s="86"/>
      <c r="DR104" s="63"/>
      <c r="DS104" s="54"/>
      <c r="DT104" s="54"/>
      <c r="DU104" s="54"/>
      <c r="DV104" s="54"/>
      <c r="DW104" s="54"/>
      <c r="DX104" s="54"/>
      <c r="DY104" s="63"/>
      <c r="DZ104" s="63"/>
      <c r="EA104" s="63"/>
      <c r="EB104" s="63"/>
      <c r="EC104" s="63"/>
      <c r="EE104" s="86"/>
      <c r="EF104" s="86"/>
      <c r="EG104" s="86"/>
      <c r="EI104" s="63"/>
      <c r="EJ104" s="54"/>
      <c r="EK104" s="54"/>
      <c r="EL104" s="54"/>
      <c r="EM104" s="54"/>
      <c r="EN104" s="54"/>
      <c r="EQ104" s="86"/>
      <c r="ER104" s="86"/>
      <c r="EX104" s="54"/>
      <c r="EZ104" s="54"/>
      <c r="FA104" s="54"/>
      <c r="FB104" s="54"/>
      <c r="FC104" s="54"/>
      <c r="FD104" s="89"/>
      <c r="FG104" s="86"/>
      <c r="FH104" s="253"/>
      <c r="FL104" s="45"/>
      <c r="FP104" s="54"/>
      <c r="FQ104" s="54"/>
      <c r="FR104" s="54"/>
      <c r="FS104" s="54"/>
      <c r="FT104" s="63"/>
      <c r="FU104" s="54"/>
      <c r="FV104" s="54"/>
      <c r="FW104" s="54"/>
      <c r="FX104" s="86"/>
      <c r="FY104" s="86"/>
      <c r="FZ104" s="102"/>
      <c r="GA104" s="86"/>
      <c r="GB104" s="86"/>
      <c r="GD104" s="63"/>
      <c r="GE104" s="63"/>
      <c r="GF104" s="63"/>
      <c r="GG104" s="63"/>
      <c r="GH104" s="45"/>
      <c r="GI104" s="54"/>
      <c r="GJ104" s="54"/>
      <c r="GL104" s="86"/>
      <c r="GN104" s="54"/>
      <c r="GO104" s="54"/>
      <c r="GP104" s="54"/>
      <c r="GQ104" s="54"/>
      <c r="GR104" s="86"/>
      <c r="GS104" s="86"/>
      <c r="GU104" s="63"/>
      <c r="GV104" s="63"/>
      <c r="GW104" s="63"/>
      <c r="GX104" s="63"/>
      <c r="GZ104" s="63"/>
      <c r="HA104" s="54"/>
      <c r="HD104" s="86"/>
      <c r="HE104" s="54"/>
      <c r="HF104" s="54"/>
      <c r="HG104" s="54"/>
      <c r="HH104" s="54"/>
      <c r="HI104" s="86"/>
      <c r="HJ104" s="86"/>
      <c r="HQ104" s="63"/>
      <c r="HR104" s="54"/>
      <c r="HU104" s="86"/>
      <c r="HV104" s="54"/>
      <c r="HW104" s="54"/>
      <c r="HX104" s="54"/>
      <c r="HY104" s="54"/>
      <c r="HZ104" s="86"/>
      <c r="IA104" s="86"/>
      <c r="IF104" s="54"/>
      <c r="IH104" s="89"/>
      <c r="IK104" s="86"/>
      <c r="IL104" s="54"/>
      <c r="IM104" s="54"/>
      <c r="IN104" s="54"/>
      <c r="IO104" s="54"/>
      <c r="JB104" s="54"/>
      <c r="JC104" s="54"/>
      <c r="JD104" s="54"/>
      <c r="JE104" s="54"/>
    </row>
    <row r="105" spans="1:265">
      <c r="A105" s="86">
        <v>75</v>
      </c>
      <c r="B105" s="117"/>
      <c r="C105" s="117"/>
      <c r="D105" s="117"/>
      <c r="E105" s="117"/>
      <c r="K105" s="117"/>
      <c r="L105" s="45"/>
      <c r="M105" s="45"/>
      <c r="N105" s="45"/>
      <c r="O105" s="45"/>
      <c r="P105" s="45"/>
      <c r="Q105" s="45"/>
      <c r="R105" s="45"/>
      <c r="S105" s="117"/>
      <c r="T105" s="117"/>
      <c r="U105" s="74"/>
      <c r="V105" s="74"/>
      <c r="W105" s="74"/>
      <c r="X105" s="74"/>
      <c r="Y105" s="74"/>
      <c r="Z105" s="74"/>
      <c r="AA105" s="74"/>
      <c r="AB105" s="74"/>
      <c r="AC105" s="117"/>
      <c r="AD105" s="117"/>
      <c r="AE105" s="117"/>
      <c r="AF105" s="117"/>
      <c r="AG105" s="117"/>
      <c r="AH105" s="117"/>
      <c r="AI105" s="117"/>
      <c r="AJ105" s="117"/>
      <c r="AK105" s="117"/>
      <c r="AL105" s="117"/>
      <c r="AM105" s="117"/>
      <c r="AN105" s="117"/>
      <c r="AO105" s="117"/>
      <c r="AP105" s="117"/>
      <c r="AQ105" s="117"/>
      <c r="AR105" s="300"/>
      <c r="AS105" s="300"/>
      <c r="AT105" s="86"/>
      <c r="AU105" s="162"/>
      <c r="AV105" s="162"/>
      <c r="AW105" s="162"/>
      <c r="AX105" s="162"/>
      <c r="AY105" s="162"/>
      <c r="BB105" s="45"/>
      <c r="BC105" s="45"/>
      <c r="BD105" s="117"/>
      <c r="BE105" s="117"/>
      <c r="BF105" s="99"/>
      <c r="BG105" s="99"/>
      <c r="BH105" s="54"/>
      <c r="BI105" s="117"/>
      <c r="BJ105" s="117"/>
      <c r="BK105" s="117"/>
      <c r="BL105" s="117"/>
      <c r="BM105" s="117"/>
      <c r="BN105" s="117"/>
      <c r="BO105" s="117"/>
      <c r="BP105" s="117"/>
      <c r="BQ105" s="117"/>
      <c r="BR105" s="117"/>
      <c r="BS105" s="117"/>
      <c r="BT105" s="117"/>
      <c r="BU105" s="117"/>
      <c r="BV105" s="117"/>
      <c r="BW105" s="117"/>
      <c r="BX105" s="102"/>
      <c r="BY105" s="102"/>
      <c r="BZ105" s="102"/>
      <c r="CD105" s="5"/>
      <c r="CE105" s="5"/>
      <c r="CF105" s="5"/>
      <c r="CG105" s="46"/>
      <c r="CH105" s="86"/>
      <c r="CI105" s="86"/>
      <c r="CJ105" s="86"/>
      <c r="CL105" s="63"/>
      <c r="CM105" s="54"/>
      <c r="CN105" s="152"/>
      <c r="CO105" s="54"/>
      <c r="CP105" s="54"/>
      <c r="CQ105" s="86"/>
      <c r="CR105" s="63"/>
      <c r="CS105" s="63"/>
      <c r="CT105" s="63"/>
      <c r="CU105" s="63"/>
      <c r="CV105" s="86"/>
      <c r="CW105" s="86"/>
      <c r="CX105" s="86"/>
      <c r="DA105" s="54"/>
      <c r="DB105" s="54"/>
      <c r="DC105" s="54"/>
      <c r="DD105" s="54"/>
      <c r="DE105" s="54"/>
      <c r="DF105" s="54"/>
      <c r="DG105" s="54"/>
      <c r="DH105" s="63"/>
      <c r="DI105" s="63"/>
      <c r="DJ105" s="63"/>
      <c r="DK105" s="63"/>
      <c r="DL105" s="63"/>
      <c r="DN105" s="86"/>
      <c r="DO105" s="86"/>
      <c r="DP105" s="86"/>
      <c r="DR105" s="63"/>
      <c r="DS105" s="54"/>
      <c r="DT105" s="54"/>
      <c r="DU105" s="54"/>
      <c r="DV105" s="54"/>
      <c r="DW105" s="54"/>
      <c r="DX105" s="54"/>
      <c r="DY105" s="63"/>
      <c r="DZ105" s="63"/>
      <c r="EA105" s="63"/>
      <c r="EB105" s="63"/>
      <c r="EC105" s="63"/>
      <c r="EE105" s="86"/>
      <c r="EF105" s="86"/>
      <c r="EG105" s="86"/>
      <c r="EI105" s="63"/>
      <c r="EJ105" s="54"/>
      <c r="EK105" s="54"/>
      <c r="EL105" s="54"/>
      <c r="EM105" s="54"/>
      <c r="EN105" s="54"/>
      <c r="EQ105" s="86"/>
      <c r="ER105" s="86"/>
      <c r="EX105" s="54"/>
      <c r="EZ105" s="54"/>
      <c r="FA105" s="54"/>
      <c r="FB105" s="54"/>
      <c r="FC105" s="54"/>
      <c r="FG105" s="86"/>
      <c r="FH105" s="253"/>
      <c r="FL105" s="45"/>
      <c r="FP105" s="54"/>
      <c r="FQ105" s="54"/>
      <c r="FR105" s="54"/>
      <c r="FS105" s="54"/>
      <c r="FT105" s="63"/>
      <c r="FU105" s="54"/>
      <c r="FV105" s="54"/>
      <c r="FW105" s="54"/>
      <c r="FX105" s="86"/>
      <c r="FY105" s="86"/>
      <c r="FZ105" s="102"/>
      <c r="GA105" s="86"/>
      <c r="GB105" s="86"/>
      <c r="GD105" s="63"/>
      <c r="GE105" s="63"/>
      <c r="GF105" s="63"/>
      <c r="GG105" s="63"/>
      <c r="GH105" s="45"/>
      <c r="GI105" s="54"/>
      <c r="GJ105" s="54"/>
      <c r="GL105" s="86"/>
      <c r="GN105" s="54"/>
      <c r="GO105" s="54"/>
      <c r="GP105" s="54"/>
      <c r="GQ105" s="54"/>
      <c r="GR105" s="86"/>
      <c r="GS105" s="86"/>
      <c r="GU105" s="63"/>
      <c r="GV105" s="63"/>
      <c r="GW105" s="63"/>
      <c r="GX105" s="63"/>
      <c r="GZ105" s="63"/>
      <c r="HA105" s="54"/>
      <c r="HD105" s="86"/>
      <c r="HE105" s="54"/>
      <c r="HF105" s="54"/>
      <c r="HG105" s="54"/>
      <c r="HH105" s="54"/>
      <c r="HI105" s="86"/>
      <c r="HJ105" s="86"/>
      <c r="HQ105" s="63"/>
      <c r="HR105" s="54"/>
      <c r="HU105" s="86"/>
      <c r="HV105" s="54"/>
      <c r="HW105" s="54"/>
      <c r="HX105" s="54"/>
      <c r="HY105" s="54"/>
      <c r="HZ105" s="86"/>
      <c r="IA105" s="86"/>
      <c r="IF105" s="54"/>
      <c r="IH105" s="89"/>
      <c r="IK105" s="86"/>
      <c r="IL105" s="54"/>
      <c r="IM105" s="54"/>
      <c r="IN105" s="54"/>
      <c r="IO105" s="54"/>
      <c r="JB105" s="54"/>
      <c r="JC105" s="54"/>
      <c r="JD105" s="54"/>
      <c r="JE105" s="54"/>
    </row>
    <row r="106" spans="1:265">
      <c r="A106" s="86">
        <v>76</v>
      </c>
      <c r="B106" s="117"/>
      <c r="C106" s="117"/>
      <c r="D106" s="117"/>
      <c r="E106" s="117"/>
      <c r="K106" s="117"/>
      <c r="L106" s="45"/>
      <c r="M106" s="45"/>
      <c r="N106" s="45"/>
      <c r="O106" s="45"/>
      <c r="P106" s="45"/>
      <c r="Q106" s="45"/>
      <c r="R106" s="45"/>
      <c r="S106" s="117"/>
      <c r="T106" s="117"/>
      <c r="U106" s="74"/>
      <c r="V106" s="74"/>
      <c r="W106" s="74"/>
      <c r="X106" s="74"/>
      <c r="Y106" s="74"/>
      <c r="Z106" s="74"/>
      <c r="AA106" s="74"/>
      <c r="AB106" s="74"/>
      <c r="AC106" s="117"/>
      <c r="AD106" s="117"/>
      <c r="AE106" s="117"/>
      <c r="AF106" s="117"/>
      <c r="AG106" s="117"/>
      <c r="AH106" s="117"/>
      <c r="AI106" s="117"/>
      <c r="AJ106" s="117"/>
      <c r="AK106" s="117"/>
      <c r="AL106" s="117"/>
      <c r="AM106" s="117"/>
      <c r="AN106" s="117"/>
      <c r="AO106" s="117"/>
      <c r="AP106" s="117"/>
      <c r="AQ106" s="117"/>
      <c r="AR106" s="300"/>
      <c r="AS106" s="300"/>
      <c r="AT106" s="86"/>
      <c r="AU106" s="162"/>
      <c r="AV106" s="162"/>
      <c r="AW106" s="162"/>
      <c r="AX106" s="162"/>
      <c r="AY106" s="162"/>
      <c r="BB106" s="45"/>
      <c r="BC106" s="45"/>
      <c r="BD106" s="117"/>
      <c r="BE106" s="117"/>
      <c r="BF106" s="99"/>
      <c r="BG106" s="99"/>
      <c r="BH106" s="54"/>
      <c r="BI106" s="117"/>
      <c r="BJ106" s="117"/>
      <c r="BK106" s="117"/>
      <c r="BL106" s="117"/>
      <c r="BM106" s="117"/>
      <c r="BN106" s="117"/>
      <c r="BO106" s="117"/>
      <c r="BP106" s="117"/>
      <c r="BQ106" s="117"/>
      <c r="BR106" s="117"/>
      <c r="BS106" s="117"/>
      <c r="BT106" s="117"/>
      <c r="BU106" s="117"/>
      <c r="BV106" s="117"/>
      <c r="BW106" s="117"/>
      <c r="BX106" s="102"/>
      <c r="BY106" s="102"/>
      <c r="BZ106" s="102"/>
      <c r="CD106" s="5"/>
      <c r="CE106" s="5"/>
      <c r="CF106" s="5"/>
      <c r="CG106" s="46"/>
      <c r="CH106" s="86"/>
      <c r="CI106" s="86"/>
      <c r="CJ106" s="86"/>
      <c r="CL106" s="63"/>
      <c r="CM106" s="54"/>
      <c r="CN106" s="152"/>
      <c r="CO106" s="54"/>
      <c r="CP106" s="54"/>
      <c r="CQ106" s="86"/>
      <c r="CR106" s="63"/>
      <c r="CS106" s="63"/>
      <c r="CT106" s="63"/>
      <c r="CU106" s="63"/>
      <c r="CV106" s="86"/>
      <c r="CW106" s="86"/>
      <c r="CX106" s="86"/>
      <c r="DA106" s="54"/>
      <c r="DB106" s="54"/>
      <c r="DC106" s="54"/>
      <c r="DD106" s="54"/>
      <c r="DE106" s="54"/>
      <c r="DF106" s="54"/>
      <c r="DG106" s="54"/>
      <c r="DH106" s="63"/>
      <c r="DI106" s="63"/>
      <c r="DJ106" s="63"/>
      <c r="DK106" s="63"/>
      <c r="DL106" s="63"/>
      <c r="DN106" s="86"/>
      <c r="DO106" s="86"/>
      <c r="DP106" s="86"/>
      <c r="DR106" s="63"/>
      <c r="DS106" s="54"/>
      <c r="DT106" s="54"/>
      <c r="DU106" s="54"/>
      <c r="DV106" s="54"/>
      <c r="DW106" s="54"/>
      <c r="DX106" s="54"/>
      <c r="DY106" s="63"/>
      <c r="DZ106" s="63"/>
      <c r="EA106" s="63"/>
      <c r="EB106" s="63"/>
      <c r="EC106" s="63"/>
      <c r="EE106" s="86"/>
      <c r="EF106" s="86"/>
      <c r="EG106" s="86"/>
      <c r="EI106" s="63"/>
      <c r="EJ106" s="54"/>
      <c r="EK106" s="54"/>
      <c r="EL106" s="54"/>
      <c r="EM106" s="54"/>
      <c r="EN106" s="54"/>
      <c r="EQ106" s="86"/>
      <c r="ER106" s="86"/>
      <c r="EX106" s="54"/>
      <c r="EZ106" s="54"/>
      <c r="FA106" s="54"/>
      <c r="FB106" s="54"/>
      <c r="FC106" s="54"/>
      <c r="FG106" s="86"/>
      <c r="FH106" s="253"/>
      <c r="FL106" s="45"/>
      <c r="FP106" s="54"/>
      <c r="FQ106" s="54"/>
      <c r="FR106" s="54"/>
      <c r="FS106" s="54"/>
      <c r="FT106" s="63"/>
      <c r="FU106" s="54"/>
      <c r="FV106" s="54"/>
      <c r="FW106" s="54"/>
      <c r="FX106" s="86"/>
      <c r="FY106" s="86"/>
      <c r="FZ106" s="102"/>
      <c r="GA106" s="86"/>
      <c r="GB106" s="86"/>
      <c r="GD106" s="63"/>
      <c r="GE106" s="63"/>
      <c r="GF106" s="63"/>
      <c r="GG106" s="63"/>
      <c r="GH106" s="45"/>
      <c r="GI106" s="54"/>
      <c r="GJ106" s="54"/>
      <c r="GL106" s="86"/>
      <c r="GN106" s="54"/>
      <c r="GO106" s="54"/>
      <c r="GP106" s="54"/>
      <c r="GQ106" s="54"/>
      <c r="GR106" s="86"/>
      <c r="GS106" s="86"/>
      <c r="GU106" s="63"/>
      <c r="GV106" s="63"/>
      <c r="GW106" s="63"/>
      <c r="GX106" s="63"/>
      <c r="GZ106" s="63"/>
      <c r="HA106" s="54"/>
      <c r="HD106" s="86"/>
      <c r="HE106" s="54"/>
      <c r="HF106" s="54"/>
      <c r="HG106" s="54"/>
      <c r="HH106" s="54"/>
      <c r="HI106" s="86"/>
      <c r="HJ106" s="86"/>
      <c r="HQ106" s="63"/>
      <c r="HR106" s="54"/>
      <c r="HU106" s="86"/>
      <c r="HV106" s="54"/>
      <c r="HW106" s="54"/>
      <c r="HX106" s="54"/>
      <c r="HY106" s="54"/>
      <c r="HZ106" s="86"/>
      <c r="IA106" s="86"/>
      <c r="IF106" s="54"/>
      <c r="IH106" s="89"/>
      <c r="IK106" s="86"/>
      <c r="IL106" s="54"/>
      <c r="IM106" s="54"/>
      <c r="IN106" s="54"/>
      <c r="IO106" s="54"/>
      <c r="JB106" s="54"/>
      <c r="JC106" s="54"/>
      <c r="JD106" s="54"/>
      <c r="JE106" s="54"/>
    </row>
    <row r="107" spans="1:265">
      <c r="A107" s="86">
        <v>77</v>
      </c>
      <c r="B107" s="117"/>
      <c r="C107" s="117"/>
      <c r="D107" s="117"/>
      <c r="E107" s="117"/>
      <c r="K107" s="117"/>
      <c r="L107" s="45"/>
      <c r="M107" s="45"/>
      <c r="N107" s="45"/>
      <c r="O107" s="45"/>
      <c r="P107" s="45"/>
      <c r="Q107" s="45"/>
      <c r="R107" s="45"/>
      <c r="S107" s="117"/>
      <c r="T107" s="117"/>
      <c r="U107" s="74"/>
      <c r="V107" s="74"/>
      <c r="W107" s="74"/>
      <c r="X107" s="74"/>
      <c r="Y107" s="74"/>
      <c r="Z107" s="74"/>
      <c r="AA107" s="74"/>
      <c r="AB107" s="74"/>
      <c r="AC107" s="117"/>
      <c r="AD107" s="117"/>
      <c r="AE107" s="117"/>
      <c r="AF107" s="117"/>
      <c r="AG107" s="117"/>
      <c r="AH107" s="117"/>
      <c r="AI107" s="117"/>
      <c r="AJ107" s="117"/>
      <c r="AK107" s="117"/>
      <c r="AL107" s="117"/>
      <c r="AM107" s="117"/>
      <c r="AN107" s="117"/>
      <c r="AO107" s="117"/>
      <c r="AP107" s="117"/>
      <c r="AQ107" s="117"/>
      <c r="AR107" s="300"/>
      <c r="AS107" s="300"/>
      <c r="AT107" s="86"/>
      <c r="AU107" s="162"/>
      <c r="AV107" s="162"/>
      <c r="AW107" s="162"/>
      <c r="AX107" s="162"/>
      <c r="AY107" s="162"/>
      <c r="BB107" s="45"/>
      <c r="BC107" s="45"/>
      <c r="BD107" s="117"/>
      <c r="BE107" s="117"/>
      <c r="BF107" s="99"/>
      <c r="BG107" s="99"/>
      <c r="BH107" s="54"/>
      <c r="BI107" s="117"/>
      <c r="BJ107" s="117"/>
      <c r="BK107" s="117"/>
      <c r="BL107" s="117"/>
      <c r="BM107" s="117"/>
      <c r="BN107" s="117"/>
      <c r="BO107" s="117"/>
      <c r="BP107" s="117"/>
      <c r="BQ107" s="117"/>
      <c r="BR107" s="117"/>
      <c r="BS107" s="117"/>
      <c r="BT107" s="117"/>
      <c r="BU107" s="117"/>
      <c r="BV107" s="117"/>
      <c r="BW107" s="117"/>
      <c r="BX107" s="102"/>
      <c r="BY107" s="102"/>
      <c r="BZ107" s="102"/>
      <c r="CD107" s="5"/>
      <c r="CE107" s="5"/>
      <c r="CF107" s="5"/>
      <c r="CG107" s="46"/>
      <c r="CH107" s="86"/>
      <c r="CI107" s="86"/>
      <c r="CJ107" s="86"/>
      <c r="CL107" s="63"/>
      <c r="CM107" s="54"/>
      <c r="CN107" s="152"/>
      <c r="CO107" s="54"/>
      <c r="CP107" s="54"/>
      <c r="CQ107" s="86"/>
      <c r="CR107" s="63"/>
      <c r="CS107" s="63"/>
      <c r="CT107" s="63"/>
      <c r="CU107" s="63"/>
      <c r="CV107" s="86"/>
      <c r="CW107" s="86"/>
      <c r="CX107" s="86"/>
      <c r="DA107" s="54"/>
      <c r="DB107" s="54"/>
      <c r="DC107" s="54"/>
      <c r="DD107" s="54"/>
      <c r="DE107" s="54"/>
      <c r="DF107" s="54"/>
      <c r="DG107" s="54"/>
      <c r="DH107" s="63"/>
      <c r="DI107" s="63"/>
      <c r="DJ107" s="63"/>
      <c r="DK107" s="63"/>
      <c r="DL107" s="63"/>
      <c r="DN107" s="86"/>
      <c r="DO107" s="86"/>
      <c r="DP107" s="86"/>
      <c r="DR107" s="63"/>
      <c r="DS107" s="54"/>
      <c r="DT107" s="54"/>
      <c r="DU107" s="54"/>
      <c r="DV107" s="54"/>
      <c r="DW107" s="54"/>
      <c r="DX107" s="54"/>
      <c r="DY107" s="63"/>
      <c r="DZ107" s="63"/>
      <c r="EA107" s="63"/>
      <c r="EB107" s="63"/>
      <c r="EC107" s="63"/>
      <c r="EE107" s="86"/>
      <c r="EF107" s="86"/>
      <c r="EG107" s="86"/>
      <c r="EI107" s="63"/>
      <c r="EJ107" s="54"/>
      <c r="EK107" s="54"/>
      <c r="EL107" s="54"/>
      <c r="EM107" s="54"/>
      <c r="EN107" s="54"/>
      <c r="EQ107" s="86"/>
      <c r="ER107" s="86"/>
      <c r="EX107" s="54"/>
      <c r="EZ107" s="54"/>
      <c r="FA107" s="54"/>
      <c r="FB107" s="54"/>
      <c r="FC107" s="54"/>
      <c r="FG107" s="86"/>
      <c r="FH107" s="253"/>
      <c r="FL107" s="45"/>
      <c r="FP107" s="54"/>
      <c r="FQ107" s="54"/>
      <c r="FR107" s="54"/>
      <c r="FS107" s="54"/>
      <c r="FT107" s="63"/>
      <c r="FU107" s="54"/>
      <c r="FV107" s="54"/>
      <c r="FW107" s="54"/>
      <c r="FX107" s="86"/>
      <c r="FY107" s="86"/>
      <c r="FZ107" s="102"/>
      <c r="GA107" s="86"/>
      <c r="GB107" s="86"/>
      <c r="GD107" s="63"/>
      <c r="GE107" s="63"/>
      <c r="GF107" s="63"/>
      <c r="GG107" s="63"/>
      <c r="GH107" s="45"/>
      <c r="GI107" s="54"/>
      <c r="GJ107" s="54"/>
      <c r="GL107" s="86"/>
      <c r="GN107" s="54"/>
      <c r="GO107" s="54"/>
      <c r="GP107" s="54"/>
      <c r="GQ107" s="54"/>
      <c r="GR107" s="86"/>
      <c r="GS107" s="86"/>
      <c r="GU107" s="63"/>
      <c r="GV107" s="63"/>
      <c r="GW107" s="63"/>
      <c r="GX107" s="63"/>
      <c r="GZ107" s="63"/>
      <c r="HA107" s="54"/>
      <c r="HD107" s="86"/>
      <c r="HE107" s="54"/>
      <c r="HF107" s="54"/>
      <c r="HG107" s="54"/>
      <c r="HH107" s="54"/>
      <c r="HI107" s="86"/>
      <c r="HJ107" s="86"/>
      <c r="HQ107" s="63"/>
      <c r="HR107" s="54"/>
      <c r="HU107" s="86"/>
      <c r="HV107" s="54"/>
      <c r="HW107" s="54"/>
      <c r="HX107" s="54"/>
      <c r="HY107" s="54"/>
      <c r="HZ107" s="86"/>
      <c r="IA107" s="86"/>
      <c r="IF107" s="54"/>
      <c r="IH107" s="89"/>
      <c r="IK107" s="86"/>
      <c r="IL107" s="54"/>
      <c r="IM107" s="54"/>
      <c r="IN107" s="54"/>
      <c r="IO107" s="54"/>
      <c r="JB107" s="54"/>
      <c r="JC107" s="54"/>
      <c r="JD107" s="54"/>
      <c r="JE107" s="54"/>
    </row>
    <row r="108" spans="1:265">
      <c r="A108" s="86">
        <v>78</v>
      </c>
      <c r="B108" s="117"/>
      <c r="C108" s="117"/>
      <c r="D108" s="117"/>
      <c r="E108" s="117"/>
      <c r="K108" s="117"/>
      <c r="L108" s="45"/>
      <c r="M108" s="45"/>
      <c r="N108" s="45"/>
      <c r="O108" s="45"/>
      <c r="P108" s="45"/>
      <c r="Q108" s="45"/>
      <c r="R108" s="45"/>
      <c r="S108" s="117"/>
      <c r="T108" s="117"/>
      <c r="U108" s="74"/>
      <c r="V108" s="74"/>
      <c r="W108" s="74"/>
      <c r="X108" s="74"/>
      <c r="Y108" s="74"/>
      <c r="Z108" s="74"/>
      <c r="AA108" s="74"/>
      <c r="AB108" s="74"/>
      <c r="AC108" s="117"/>
      <c r="AD108" s="117"/>
      <c r="AE108" s="117"/>
      <c r="AF108" s="117"/>
      <c r="AG108" s="117"/>
      <c r="AH108" s="117"/>
      <c r="AI108" s="117"/>
      <c r="AJ108" s="117"/>
      <c r="AK108" s="117"/>
      <c r="AL108" s="117"/>
      <c r="AM108" s="117"/>
      <c r="AN108" s="117"/>
      <c r="AO108" s="117"/>
      <c r="AP108" s="117"/>
      <c r="AQ108" s="117"/>
      <c r="AR108" s="300"/>
      <c r="AS108" s="300"/>
      <c r="AT108" s="86"/>
      <c r="AU108" s="162"/>
      <c r="AV108" s="162"/>
      <c r="AW108" s="162"/>
      <c r="AX108" s="162"/>
      <c r="AY108" s="162"/>
      <c r="BB108" s="45"/>
      <c r="BC108" s="45"/>
      <c r="BD108" s="117"/>
      <c r="BE108" s="117"/>
      <c r="BF108" s="99"/>
      <c r="BG108" s="99"/>
      <c r="BH108" s="54"/>
      <c r="BI108" s="117"/>
      <c r="BJ108" s="117"/>
      <c r="BK108" s="117"/>
      <c r="BL108" s="117"/>
      <c r="BM108" s="117"/>
      <c r="BN108" s="117"/>
      <c r="BO108" s="117"/>
      <c r="BP108" s="117"/>
      <c r="BQ108" s="117"/>
      <c r="BR108" s="117"/>
      <c r="BS108" s="117"/>
      <c r="BT108" s="117"/>
      <c r="BU108" s="117"/>
      <c r="BV108" s="117"/>
      <c r="BW108" s="117"/>
      <c r="BX108" s="102"/>
      <c r="BY108" s="102"/>
      <c r="BZ108" s="102"/>
      <c r="CD108" s="5"/>
      <c r="CE108" s="5"/>
      <c r="CF108" s="5"/>
      <c r="CG108" s="46"/>
      <c r="CH108" s="86"/>
      <c r="CI108" s="86"/>
      <c r="CJ108" s="86"/>
      <c r="CL108" s="63"/>
      <c r="CM108" s="54"/>
      <c r="CN108" s="152"/>
      <c r="CO108" s="54"/>
      <c r="CP108" s="54"/>
      <c r="CQ108" s="86"/>
      <c r="CR108" s="63"/>
      <c r="CS108" s="63"/>
      <c r="CT108" s="63"/>
      <c r="CU108" s="63"/>
      <c r="CV108" s="86"/>
      <c r="CW108" s="86"/>
      <c r="CX108" s="86"/>
      <c r="DA108" s="54"/>
      <c r="DB108" s="54"/>
      <c r="DC108" s="54"/>
      <c r="DD108" s="54"/>
      <c r="DE108" s="54"/>
      <c r="DF108" s="54"/>
      <c r="DG108" s="54"/>
      <c r="DH108" s="63"/>
      <c r="DI108" s="63"/>
      <c r="DJ108" s="63"/>
      <c r="DK108" s="63"/>
      <c r="DL108" s="63"/>
      <c r="DN108" s="86"/>
      <c r="DO108" s="86"/>
      <c r="DP108" s="86"/>
      <c r="DR108" s="63"/>
      <c r="DS108" s="54"/>
      <c r="DT108" s="54"/>
      <c r="DU108" s="54"/>
      <c r="DV108" s="54"/>
      <c r="DW108" s="54"/>
      <c r="DX108" s="54"/>
      <c r="DY108" s="63"/>
      <c r="DZ108" s="63"/>
      <c r="EA108" s="63"/>
      <c r="EB108" s="63"/>
      <c r="EC108" s="63"/>
      <c r="EE108" s="86"/>
      <c r="EF108" s="86"/>
      <c r="EG108" s="86"/>
      <c r="EI108" s="63"/>
      <c r="EJ108" s="54"/>
      <c r="EK108" s="54"/>
      <c r="EL108" s="54"/>
      <c r="EM108" s="54"/>
      <c r="EN108" s="54"/>
      <c r="EQ108" s="86"/>
      <c r="ER108" s="86"/>
      <c r="EX108" s="54"/>
      <c r="EZ108" s="54"/>
      <c r="FA108" s="54"/>
      <c r="FB108" s="54"/>
      <c r="FC108" s="54"/>
      <c r="FG108" s="86"/>
      <c r="FH108" s="253"/>
      <c r="FL108" s="45"/>
      <c r="FP108" s="54"/>
      <c r="FQ108" s="54"/>
      <c r="FR108" s="54"/>
      <c r="FS108" s="54"/>
      <c r="FT108" s="63"/>
      <c r="FU108" s="54"/>
      <c r="FV108" s="54"/>
      <c r="FW108" s="54"/>
      <c r="FX108" s="86"/>
      <c r="FY108" s="86"/>
      <c r="FZ108" s="102"/>
      <c r="GA108" s="86"/>
      <c r="GB108" s="86"/>
      <c r="GD108" s="63"/>
      <c r="GE108" s="63"/>
      <c r="GF108" s="63"/>
      <c r="GG108" s="63"/>
      <c r="GH108" s="45"/>
      <c r="GI108" s="54"/>
      <c r="GJ108" s="54"/>
      <c r="GL108" s="86"/>
      <c r="GN108" s="54"/>
      <c r="GO108" s="54"/>
      <c r="GP108" s="54"/>
      <c r="GQ108" s="54"/>
      <c r="GR108" s="86"/>
      <c r="GS108" s="86"/>
      <c r="GU108" s="63"/>
      <c r="GV108" s="63"/>
      <c r="GW108" s="63"/>
      <c r="GX108" s="63"/>
      <c r="GZ108" s="63"/>
      <c r="HA108" s="54"/>
      <c r="HD108" s="86"/>
      <c r="HE108" s="54"/>
      <c r="HF108" s="54"/>
      <c r="HG108" s="54"/>
      <c r="HH108" s="54"/>
      <c r="HI108" s="86"/>
      <c r="HJ108" s="86"/>
      <c r="HQ108" s="63"/>
      <c r="HR108" s="54"/>
      <c r="HU108" s="86"/>
      <c r="HV108" s="54"/>
      <c r="HW108" s="54"/>
      <c r="HX108" s="54"/>
      <c r="HY108" s="54"/>
      <c r="HZ108" s="86"/>
      <c r="IA108" s="86"/>
      <c r="IF108" s="54"/>
      <c r="IH108" s="89"/>
      <c r="IK108" s="86"/>
      <c r="IL108" s="54"/>
      <c r="IM108" s="54"/>
      <c r="IN108" s="54"/>
      <c r="IO108" s="54"/>
      <c r="JB108" s="54"/>
      <c r="JC108" s="54"/>
      <c r="JD108" s="54"/>
      <c r="JE108" s="54"/>
    </row>
    <row r="109" spans="1:265">
      <c r="A109" s="86">
        <v>79</v>
      </c>
      <c r="B109" s="117"/>
      <c r="C109" s="117"/>
      <c r="D109" s="117"/>
      <c r="E109" s="117"/>
      <c r="K109" s="117"/>
      <c r="L109" s="45"/>
      <c r="M109" s="45"/>
      <c r="N109" s="45"/>
      <c r="O109" s="45"/>
      <c r="P109" s="45"/>
      <c r="Q109" s="45"/>
      <c r="R109" s="45"/>
      <c r="S109" s="117"/>
      <c r="T109" s="117"/>
      <c r="U109" s="74"/>
      <c r="V109" s="74"/>
      <c r="W109" s="74"/>
      <c r="X109" s="74"/>
      <c r="Y109" s="74"/>
      <c r="Z109" s="74"/>
      <c r="AA109" s="74"/>
      <c r="AB109" s="74"/>
      <c r="AC109" s="117"/>
      <c r="AD109" s="117"/>
      <c r="AE109" s="117"/>
      <c r="AF109" s="117"/>
      <c r="AG109" s="117"/>
      <c r="AH109" s="117"/>
      <c r="AI109" s="117"/>
      <c r="AJ109" s="117"/>
      <c r="AK109" s="117"/>
      <c r="AL109" s="117"/>
      <c r="AM109" s="117"/>
      <c r="AN109" s="117"/>
      <c r="AO109" s="117"/>
      <c r="AP109" s="117"/>
      <c r="AQ109" s="117"/>
      <c r="AR109" s="300"/>
      <c r="AS109" s="300"/>
      <c r="AT109" s="86"/>
      <c r="AU109" s="162"/>
      <c r="AV109" s="162"/>
      <c r="AW109" s="162"/>
      <c r="AX109" s="162"/>
      <c r="AY109" s="162"/>
      <c r="BB109" s="45"/>
      <c r="BC109" s="45"/>
      <c r="BD109" s="117"/>
      <c r="BE109" s="117"/>
      <c r="BF109" s="99"/>
      <c r="BG109" s="99"/>
      <c r="BH109" s="54"/>
      <c r="BI109" s="117"/>
      <c r="BJ109" s="117"/>
      <c r="BK109" s="117"/>
      <c r="BL109" s="117"/>
      <c r="BM109" s="117"/>
      <c r="BN109" s="117"/>
      <c r="BO109" s="117"/>
      <c r="BP109" s="117"/>
      <c r="BQ109" s="117"/>
      <c r="BR109" s="117"/>
      <c r="BS109" s="117"/>
      <c r="BT109" s="117"/>
      <c r="BU109" s="117"/>
      <c r="BV109" s="117"/>
      <c r="BW109" s="117"/>
      <c r="BX109" s="102"/>
      <c r="BY109" s="102"/>
      <c r="BZ109" s="102"/>
      <c r="CD109" s="5"/>
      <c r="CE109" s="5"/>
      <c r="CF109" s="5"/>
      <c r="CG109" s="46"/>
      <c r="CH109" s="86"/>
      <c r="CI109" s="86"/>
      <c r="CJ109" s="86"/>
      <c r="CL109" s="63"/>
      <c r="CM109" s="54"/>
      <c r="CN109" s="152"/>
      <c r="CO109" s="54"/>
      <c r="CP109" s="54"/>
      <c r="CQ109" s="86"/>
      <c r="CR109" s="63"/>
      <c r="CS109" s="63"/>
      <c r="CT109" s="63"/>
      <c r="CU109" s="63"/>
      <c r="CV109" s="86"/>
      <c r="CW109" s="86"/>
      <c r="CX109" s="86"/>
      <c r="DA109" s="54"/>
      <c r="DB109" s="54"/>
      <c r="DC109" s="54"/>
      <c r="DD109" s="54"/>
      <c r="DE109" s="54"/>
      <c r="DF109" s="54"/>
      <c r="DG109" s="54"/>
      <c r="DH109" s="63"/>
      <c r="DI109" s="63"/>
      <c r="DJ109" s="63"/>
      <c r="DK109" s="63"/>
      <c r="DL109" s="63"/>
      <c r="DN109" s="86"/>
      <c r="DO109" s="86"/>
      <c r="DP109" s="86"/>
      <c r="DR109" s="63"/>
      <c r="DS109" s="54"/>
      <c r="DT109" s="54"/>
      <c r="DU109" s="54"/>
      <c r="DV109" s="54"/>
      <c r="DW109" s="54"/>
      <c r="DX109" s="54"/>
      <c r="DY109" s="63"/>
      <c r="DZ109" s="63"/>
      <c r="EA109" s="63"/>
      <c r="EB109" s="63"/>
      <c r="EC109" s="63"/>
      <c r="EE109" s="86"/>
      <c r="EF109" s="86"/>
      <c r="EG109" s="86"/>
      <c r="EI109" s="63"/>
      <c r="EJ109" s="54"/>
      <c r="EK109" s="54"/>
      <c r="EL109" s="54"/>
      <c r="EM109" s="54"/>
      <c r="EN109" s="54"/>
      <c r="EQ109" s="86"/>
      <c r="ER109" s="86"/>
      <c r="EX109" s="54"/>
      <c r="EZ109" s="54"/>
      <c r="FA109" s="54"/>
      <c r="FB109" s="54"/>
      <c r="FC109" s="54"/>
      <c r="FG109" s="86"/>
      <c r="FH109" s="253"/>
      <c r="FL109" s="45"/>
      <c r="FP109" s="54"/>
      <c r="FQ109" s="54"/>
      <c r="FR109" s="54"/>
      <c r="FS109" s="54"/>
      <c r="FT109" s="63"/>
      <c r="FU109" s="54"/>
      <c r="FV109" s="54"/>
      <c r="FW109" s="54"/>
      <c r="FX109" s="86"/>
      <c r="FY109" s="86"/>
      <c r="FZ109" s="102"/>
      <c r="GA109" s="86"/>
      <c r="GB109" s="86"/>
      <c r="GD109" s="63"/>
      <c r="GE109" s="63"/>
      <c r="GF109" s="63"/>
      <c r="GG109" s="63"/>
      <c r="GH109" s="45"/>
      <c r="GI109" s="54"/>
      <c r="GJ109" s="54"/>
      <c r="GL109" s="86"/>
      <c r="GN109" s="54"/>
      <c r="GO109" s="54"/>
      <c r="GP109" s="54"/>
      <c r="GQ109" s="54"/>
      <c r="GR109" s="86"/>
      <c r="GS109" s="86"/>
      <c r="GU109" s="63"/>
      <c r="GV109" s="63"/>
      <c r="GW109" s="63"/>
      <c r="GX109" s="63"/>
      <c r="GZ109" s="63"/>
      <c r="HA109" s="54"/>
      <c r="HD109" s="86"/>
      <c r="HE109" s="54"/>
      <c r="HF109" s="54"/>
      <c r="HG109" s="54"/>
      <c r="HH109" s="54"/>
      <c r="HI109" s="86"/>
      <c r="HJ109" s="86"/>
      <c r="HQ109" s="63"/>
      <c r="HR109" s="54"/>
      <c r="HU109" s="86"/>
      <c r="HV109" s="54"/>
      <c r="HW109" s="54"/>
      <c r="HX109" s="54"/>
      <c r="HY109" s="54"/>
      <c r="HZ109" s="86"/>
      <c r="IA109" s="86"/>
      <c r="IF109" s="54"/>
      <c r="IH109" s="89"/>
      <c r="IK109" s="86"/>
      <c r="IL109" s="54"/>
      <c r="IM109" s="54"/>
      <c r="IN109" s="54"/>
      <c r="IO109" s="54"/>
      <c r="JB109" s="54"/>
      <c r="JC109" s="54"/>
      <c r="JD109" s="54"/>
      <c r="JE109" s="54"/>
    </row>
    <row r="110" spans="1:265">
      <c r="A110" s="86">
        <v>80</v>
      </c>
      <c r="B110" s="117"/>
      <c r="C110" s="117"/>
      <c r="D110" s="117"/>
      <c r="E110" s="117"/>
      <c r="K110" s="117"/>
      <c r="L110" s="45"/>
      <c r="M110" s="45"/>
      <c r="N110" s="45"/>
      <c r="O110" s="45"/>
      <c r="P110" s="45"/>
      <c r="Q110" s="45"/>
      <c r="R110" s="45"/>
      <c r="S110" s="117"/>
      <c r="T110" s="117"/>
      <c r="U110" s="74"/>
      <c r="V110" s="74"/>
      <c r="W110" s="74"/>
      <c r="X110" s="74"/>
      <c r="Y110" s="74"/>
      <c r="Z110" s="74"/>
      <c r="AA110" s="74"/>
      <c r="AB110" s="74"/>
      <c r="AC110" s="117"/>
      <c r="AD110" s="117"/>
      <c r="AE110" s="117"/>
      <c r="AF110" s="117"/>
      <c r="AG110" s="117"/>
      <c r="AH110" s="117"/>
      <c r="AI110" s="117"/>
      <c r="AJ110" s="117"/>
      <c r="AK110" s="117"/>
      <c r="AL110" s="117"/>
      <c r="AM110" s="117"/>
      <c r="AN110" s="117"/>
      <c r="AO110" s="117"/>
      <c r="AP110" s="117"/>
      <c r="AQ110" s="117"/>
      <c r="AR110" s="300"/>
      <c r="AS110" s="300"/>
      <c r="AT110" s="86"/>
      <c r="AU110" s="162"/>
      <c r="AV110" s="162"/>
      <c r="AW110" s="162"/>
      <c r="AX110" s="162"/>
      <c r="AY110" s="162"/>
      <c r="BB110" s="45"/>
      <c r="BC110" s="45"/>
      <c r="BD110" s="117"/>
      <c r="BE110" s="117"/>
      <c r="BF110" s="99"/>
      <c r="BG110" s="99"/>
      <c r="BH110" s="54"/>
      <c r="BI110" s="117"/>
      <c r="BJ110" s="117"/>
      <c r="BK110" s="117"/>
      <c r="BL110" s="117"/>
      <c r="BM110" s="117"/>
      <c r="BN110" s="117"/>
      <c r="BO110" s="117"/>
      <c r="BP110" s="117"/>
      <c r="BQ110" s="117"/>
      <c r="BR110" s="117"/>
      <c r="BS110" s="117"/>
      <c r="BT110" s="117"/>
      <c r="BU110" s="117"/>
      <c r="BV110" s="117"/>
      <c r="BW110" s="117"/>
      <c r="BX110" s="102"/>
      <c r="BY110" s="102"/>
      <c r="BZ110" s="102"/>
      <c r="CD110" s="5"/>
      <c r="CE110" s="5"/>
      <c r="CF110" s="5"/>
      <c r="CG110" s="46"/>
      <c r="CH110" s="86"/>
      <c r="CI110" s="86"/>
      <c r="CJ110" s="86"/>
      <c r="CL110" s="63"/>
      <c r="CM110" s="54"/>
      <c r="CN110" s="152"/>
      <c r="CO110" s="54"/>
      <c r="CP110" s="54"/>
      <c r="CQ110" s="86"/>
      <c r="CR110" s="63"/>
      <c r="CS110" s="63"/>
      <c r="CT110" s="63"/>
      <c r="CU110" s="63"/>
      <c r="CV110" s="86"/>
      <c r="CW110" s="86"/>
      <c r="CX110" s="86"/>
      <c r="DA110" s="54"/>
      <c r="DB110" s="54"/>
      <c r="DC110" s="54"/>
      <c r="DD110" s="54"/>
      <c r="DE110" s="54"/>
      <c r="DF110" s="54"/>
      <c r="DG110" s="54"/>
      <c r="DH110" s="63"/>
      <c r="DI110" s="63"/>
      <c r="DJ110" s="63"/>
      <c r="DK110" s="63"/>
      <c r="DL110" s="63"/>
      <c r="DN110" s="86"/>
      <c r="DO110" s="86"/>
      <c r="DP110" s="86"/>
      <c r="DR110" s="63"/>
      <c r="DS110" s="54"/>
      <c r="DT110" s="54"/>
      <c r="DU110" s="54"/>
      <c r="DV110" s="54"/>
      <c r="DW110" s="54"/>
      <c r="DX110" s="54"/>
      <c r="DY110" s="63"/>
      <c r="DZ110" s="63"/>
      <c r="EA110" s="63"/>
      <c r="EB110" s="63"/>
      <c r="EC110" s="63"/>
      <c r="EE110" s="86"/>
      <c r="EF110" s="86"/>
      <c r="EG110" s="86"/>
      <c r="EI110" s="63"/>
      <c r="EJ110" s="54"/>
      <c r="EK110" s="54"/>
      <c r="EL110" s="54"/>
      <c r="EM110" s="54"/>
      <c r="EN110" s="54"/>
      <c r="EQ110" s="86"/>
      <c r="ER110" s="86"/>
      <c r="EX110" s="54"/>
      <c r="EZ110" s="54"/>
      <c r="FA110" s="54"/>
      <c r="FB110" s="54"/>
      <c r="FC110" s="54"/>
      <c r="FG110" s="86"/>
      <c r="FH110" s="253"/>
      <c r="FL110" s="45"/>
      <c r="FP110" s="54"/>
      <c r="FQ110" s="54"/>
      <c r="FR110" s="54"/>
      <c r="FS110" s="54"/>
      <c r="FT110" s="63"/>
      <c r="FU110" s="54"/>
      <c r="FV110" s="54"/>
      <c r="FW110" s="54"/>
      <c r="FX110" s="86"/>
      <c r="FY110" s="86"/>
      <c r="FZ110" s="102"/>
      <c r="GA110" s="86"/>
      <c r="GB110" s="86"/>
      <c r="GD110" s="63"/>
      <c r="GE110" s="63"/>
      <c r="GF110" s="63"/>
      <c r="GG110" s="63"/>
      <c r="GH110" s="45"/>
      <c r="GI110" s="54"/>
      <c r="GJ110" s="54"/>
      <c r="GL110" s="86"/>
      <c r="GN110" s="54"/>
      <c r="GO110" s="54"/>
      <c r="GP110" s="54"/>
      <c r="GQ110" s="54"/>
      <c r="GR110" s="86"/>
      <c r="GS110" s="86"/>
      <c r="GU110" s="63"/>
      <c r="GV110" s="63"/>
      <c r="GW110" s="63"/>
      <c r="GX110" s="63"/>
      <c r="GZ110" s="63"/>
      <c r="HA110" s="54"/>
      <c r="HD110" s="86"/>
      <c r="HE110" s="54"/>
      <c r="HF110" s="54"/>
      <c r="HG110" s="54"/>
      <c r="HH110" s="54"/>
      <c r="HI110" s="86"/>
      <c r="HJ110" s="86"/>
      <c r="HQ110" s="63"/>
      <c r="HR110" s="54"/>
      <c r="HU110" s="86"/>
      <c r="HV110" s="54"/>
      <c r="HW110" s="54"/>
      <c r="HX110" s="54"/>
      <c r="HY110" s="54"/>
      <c r="HZ110" s="86"/>
      <c r="IA110" s="86"/>
      <c r="IF110" s="54"/>
      <c r="IH110" s="89"/>
      <c r="IK110" s="86"/>
      <c r="IL110" s="54"/>
      <c r="IM110" s="54"/>
      <c r="IN110" s="54"/>
      <c r="IO110" s="54"/>
      <c r="JB110" s="54"/>
      <c r="JC110" s="54"/>
      <c r="JD110" s="54"/>
      <c r="JE110" s="54"/>
    </row>
    <row r="111" spans="1:265">
      <c r="A111" s="86">
        <v>81</v>
      </c>
      <c r="B111" s="117"/>
      <c r="C111" s="117"/>
      <c r="D111" s="117"/>
      <c r="E111" s="117"/>
      <c r="K111" s="117"/>
      <c r="L111" s="45"/>
      <c r="M111" s="45"/>
      <c r="N111" s="45"/>
      <c r="O111" s="45"/>
      <c r="P111" s="45"/>
      <c r="Q111" s="45"/>
      <c r="R111" s="45"/>
      <c r="S111" s="117"/>
      <c r="T111" s="117"/>
      <c r="U111" s="74"/>
      <c r="V111" s="74"/>
      <c r="W111" s="74"/>
      <c r="X111" s="74"/>
      <c r="Y111" s="74"/>
      <c r="Z111" s="74"/>
      <c r="AA111" s="74"/>
      <c r="AB111" s="74"/>
      <c r="AC111" s="117"/>
      <c r="AD111" s="117"/>
      <c r="AE111" s="117"/>
      <c r="AF111" s="117"/>
      <c r="AG111" s="117"/>
      <c r="AH111" s="117"/>
      <c r="AI111" s="117"/>
      <c r="AJ111" s="117"/>
      <c r="AK111" s="117"/>
      <c r="AL111" s="117"/>
      <c r="AM111" s="117"/>
      <c r="AN111" s="117"/>
      <c r="AO111" s="117"/>
      <c r="AP111" s="117"/>
      <c r="AQ111" s="117"/>
      <c r="AR111" s="300"/>
      <c r="AS111" s="300"/>
      <c r="AT111" s="86"/>
      <c r="AU111" s="162"/>
      <c r="AV111" s="162"/>
      <c r="AW111" s="162"/>
      <c r="AX111" s="162"/>
      <c r="AY111" s="162"/>
      <c r="BB111" s="45"/>
      <c r="BC111" s="45"/>
      <c r="BD111" s="117"/>
      <c r="BE111" s="117"/>
      <c r="BF111" s="99"/>
      <c r="BG111" s="99"/>
      <c r="BH111" s="54"/>
      <c r="BI111" s="117"/>
      <c r="BJ111" s="117"/>
      <c r="BK111" s="117"/>
      <c r="BL111" s="117"/>
      <c r="BM111" s="117"/>
      <c r="BN111" s="117"/>
      <c r="BO111" s="117"/>
      <c r="BP111" s="117"/>
      <c r="BQ111" s="117"/>
      <c r="BR111" s="117"/>
      <c r="BS111" s="117"/>
      <c r="BT111" s="117"/>
      <c r="BU111" s="117"/>
      <c r="BV111" s="117"/>
      <c r="BW111" s="117"/>
      <c r="BX111" s="102"/>
      <c r="BY111" s="102"/>
      <c r="BZ111" s="102"/>
      <c r="CD111" s="5"/>
      <c r="CE111" s="5"/>
      <c r="CF111" s="5"/>
      <c r="CG111" s="46"/>
      <c r="CH111" s="86"/>
      <c r="CI111" s="86"/>
      <c r="CJ111" s="86"/>
      <c r="CL111" s="63"/>
      <c r="CM111" s="54"/>
      <c r="CN111" s="152"/>
      <c r="CO111" s="54"/>
      <c r="CP111" s="54"/>
      <c r="CQ111" s="86"/>
      <c r="CR111" s="63"/>
      <c r="CS111" s="63"/>
      <c r="CT111" s="63"/>
      <c r="CU111" s="63"/>
      <c r="CV111" s="86"/>
      <c r="CW111" s="86"/>
      <c r="CX111" s="86"/>
      <c r="DA111" s="54"/>
      <c r="DB111" s="54"/>
      <c r="DC111" s="54"/>
      <c r="DD111" s="54"/>
      <c r="DE111" s="54"/>
      <c r="DF111" s="54"/>
      <c r="DG111" s="54"/>
      <c r="DH111" s="63"/>
      <c r="DI111" s="63"/>
      <c r="DJ111" s="63"/>
      <c r="DK111" s="63"/>
      <c r="DL111" s="63"/>
      <c r="DN111" s="86"/>
      <c r="DO111" s="86"/>
      <c r="DP111" s="86"/>
      <c r="DR111" s="63"/>
      <c r="DS111" s="54"/>
      <c r="DT111" s="54"/>
      <c r="DU111" s="54"/>
      <c r="DV111" s="54"/>
      <c r="DW111" s="54"/>
      <c r="DX111" s="54"/>
      <c r="DY111" s="63"/>
      <c r="DZ111" s="63"/>
      <c r="EA111" s="63"/>
      <c r="EB111" s="63"/>
      <c r="EC111" s="63"/>
      <c r="EE111" s="86"/>
      <c r="EF111" s="86"/>
      <c r="EG111" s="86"/>
      <c r="EI111" s="63"/>
      <c r="EJ111" s="54"/>
      <c r="EK111" s="54"/>
      <c r="EL111" s="54"/>
      <c r="EM111" s="54"/>
      <c r="EN111" s="54"/>
      <c r="EQ111" s="86"/>
      <c r="ER111" s="86"/>
      <c r="EX111" s="54"/>
      <c r="EZ111" s="54"/>
      <c r="FA111" s="54"/>
      <c r="FB111" s="54"/>
      <c r="FC111" s="54"/>
      <c r="FG111" s="86"/>
      <c r="FH111" s="253"/>
      <c r="FL111" s="45"/>
      <c r="FP111" s="54"/>
      <c r="FQ111" s="54"/>
      <c r="FR111" s="54"/>
      <c r="FS111" s="54"/>
      <c r="FT111" s="63"/>
      <c r="FU111" s="54"/>
      <c r="FV111" s="54"/>
      <c r="FW111" s="54"/>
      <c r="FX111" s="86"/>
      <c r="FY111" s="86"/>
      <c r="FZ111" s="102"/>
      <c r="GA111" s="86"/>
      <c r="GB111" s="86"/>
      <c r="GD111" s="63"/>
      <c r="GE111" s="63"/>
      <c r="GF111" s="63"/>
      <c r="GG111" s="63"/>
      <c r="GH111" s="45"/>
      <c r="GI111" s="54"/>
      <c r="GJ111" s="54"/>
      <c r="GL111" s="86"/>
      <c r="GN111" s="54"/>
      <c r="GO111" s="54"/>
      <c r="GP111" s="54"/>
      <c r="GQ111" s="54"/>
      <c r="GR111" s="86"/>
      <c r="GS111" s="86"/>
      <c r="GU111" s="63"/>
      <c r="GV111" s="63"/>
      <c r="GW111" s="63"/>
      <c r="GX111" s="63"/>
      <c r="GZ111" s="63"/>
      <c r="HA111" s="54"/>
      <c r="HD111" s="86"/>
      <c r="HE111" s="54"/>
      <c r="HF111" s="54"/>
      <c r="HG111" s="54"/>
      <c r="HH111" s="54"/>
      <c r="HI111" s="86"/>
      <c r="HJ111" s="86"/>
      <c r="HQ111" s="63"/>
      <c r="HR111" s="54"/>
      <c r="HU111" s="86"/>
      <c r="HV111" s="54"/>
      <c r="HW111" s="54"/>
      <c r="HX111" s="54"/>
      <c r="HY111" s="54"/>
      <c r="HZ111" s="86"/>
      <c r="IA111" s="86"/>
      <c r="IF111" s="54"/>
      <c r="IH111" s="89"/>
      <c r="IK111" s="86"/>
      <c r="IL111" s="54"/>
      <c r="IM111" s="54"/>
      <c r="IN111" s="54"/>
      <c r="IO111" s="54"/>
      <c r="JB111" s="54"/>
      <c r="JC111" s="54"/>
      <c r="JD111" s="54"/>
      <c r="JE111" s="54"/>
    </row>
    <row r="112" spans="1:265">
      <c r="A112" s="86">
        <v>82</v>
      </c>
      <c r="B112" s="117"/>
      <c r="C112" s="117"/>
      <c r="D112" s="117"/>
      <c r="E112" s="117"/>
      <c r="K112" s="117"/>
      <c r="L112" s="45"/>
      <c r="M112" s="45"/>
      <c r="N112" s="45"/>
      <c r="O112" s="45"/>
      <c r="P112" s="45"/>
      <c r="Q112" s="45"/>
      <c r="R112" s="45"/>
      <c r="S112" s="117"/>
      <c r="T112" s="117"/>
      <c r="U112" s="74"/>
      <c r="V112" s="74"/>
      <c r="W112" s="74"/>
      <c r="X112" s="74"/>
      <c r="Y112" s="74"/>
      <c r="Z112" s="74"/>
      <c r="AA112" s="74"/>
      <c r="AB112" s="74"/>
      <c r="AC112" s="117"/>
      <c r="AD112" s="117"/>
      <c r="AE112" s="117"/>
      <c r="AF112" s="117"/>
      <c r="AG112" s="117"/>
      <c r="AH112" s="117"/>
      <c r="AI112" s="117"/>
      <c r="AJ112" s="117"/>
      <c r="AK112" s="117"/>
      <c r="AL112" s="117"/>
      <c r="AM112" s="117"/>
      <c r="AN112" s="117"/>
      <c r="AO112" s="117"/>
      <c r="AP112" s="117"/>
      <c r="AQ112" s="117"/>
      <c r="AR112" s="300"/>
      <c r="AS112" s="300"/>
      <c r="AT112" s="86"/>
      <c r="AU112" s="162"/>
      <c r="AV112" s="162"/>
      <c r="AW112" s="162"/>
      <c r="AX112" s="162"/>
      <c r="AY112" s="162"/>
      <c r="BB112" s="45"/>
      <c r="BC112" s="45"/>
      <c r="BD112" s="117"/>
      <c r="BE112" s="117"/>
      <c r="BF112" s="99"/>
      <c r="BG112" s="99"/>
      <c r="BH112" s="54"/>
      <c r="BI112" s="117"/>
      <c r="BJ112" s="117"/>
      <c r="BK112" s="117"/>
      <c r="BL112" s="117"/>
      <c r="BM112" s="117"/>
      <c r="BN112" s="117"/>
      <c r="BO112" s="117"/>
      <c r="BP112" s="117"/>
      <c r="BQ112" s="117"/>
      <c r="BR112" s="117"/>
      <c r="BS112" s="117"/>
      <c r="BT112" s="117"/>
      <c r="BU112" s="117"/>
      <c r="BV112" s="117"/>
      <c r="BW112" s="117"/>
      <c r="BX112" s="102"/>
      <c r="BY112" s="102"/>
      <c r="BZ112" s="102"/>
      <c r="CD112" s="5"/>
      <c r="CE112" s="5"/>
      <c r="CF112" s="5"/>
      <c r="CG112" s="46"/>
      <c r="CH112" s="86"/>
      <c r="CI112" s="86"/>
      <c r="CJ112" s="86"/>
      <c r="CL112" s="63"/>
      <c r="CM112" s="54"/>
      <c r="CN112" s="152"/>
      <c r="CO112" s="54"/>
      <c r="CP112" s="54"/>
      <c r="CQ112" s="86"/>
      <c r="CR112" s="63"/>
      <c r="CS112" s="63"/>
      <c r="CT112" s="63"/>
      <c r="CU112" s="63"/>
      <c r="CV112" s="86"/>
      <c r="CW112" s="86"/>
      <c r="CX112" s="86"/>
      <c r="DA112" s="54"/>
      <c r="DB112" s="54"/>
      <c r="DC112" s="54"/>
      <c r="DD112" s="54"/>
      <c r="DE112" s="54"/>
      <c r="DF112" s="54"/>
      <c r="DG112" s="54"/>
      <c r="DH112" s="63"/>
      <c r="DI112" s="63"/>
      <c r="DJ112" s="63"/>
      <c r="DK112" s="63"/>
      <c r="DL112" s="63"/>
      <c r="DN112" s="86"/>
      <c r="DO112" s="86"/>
      <c r="DP112" s="86"/>
      <c r="DR112" s="63"/>
      <c r="DS112" s="54"/>
      <c r="DT112" s="54"/>
      <c r="DU112" s="54"/>
      <c r="DV112" s="54"/>
      <c r="DW112" s="54"/>
      <c r="DX112" s="54"/>
      <c r="DY112" s="63"/>
      <c r="DZ112" s="63"/>
      <c r="EA112" s="63"/>
      <c r="EB112" s="63"/>
      <c r="EC112" s="63"/>
      <c r="EE112" s="86"/>
      <c r="EF112" s="86"/>
      <c r="EG112" s="86"/>
      <c r="EI112" s="63"/>
      <c r="EJ112" s="54"/>
      <c r="EK112" s="54"/>
      <c r="EL112" s="54"/>
      <c r="EM112" s="54"/>
      <c r="EN112" s="54"/>
      <c r="EQ112" s="86"/>
      <c r="ER112" s="86"/>
      <c r="EX112" s="54"/>
      <c r="EZ112" s="54"/>
      <c r="FA112" s="54"/>
      <c r="FB112" s="54"/>
      <c r="FC112" s="54"/>
      <c r="FG112" s="86"/>
      <c r="FH112" s="253"/>
      <c r="FL112" s="45"/>
      <c r="FP112" s="54"/>
      <c r="FQ112" s="54"/>
      <c r="FR112" s="54"/>
      <c r="FS112" s="54"/>
      <c r="FT112" s="63"/>
      <c r="FU112" s="54"/>
      <c r="FV112" s="54"/>
      <c r="FW112" s="54"/>
      <c r="FX112" s="86"/>
      <c r="FY112" s="86"/>
      <c r="FZ112" s="102"/>
      <c r="GA112" s="86"/>
      <c r="GB112" s="86"/>
      <c r="GD112" s="63"/>
      <c r="GE112" s="63"/>
      <c r="GF112" s="63"/>
      <c r="GG112" s="63"/>
      <c r="GH112" s="45"/>
      <c r="GI112" s="54"/>
      <c r="GJ112" s="54"/>
      <c r="GL112" s="86"/>
      <c r="GN112" s="54"/>
      <c r="GO112" s="54"/>
      <c r="GP112" s="54"/>
      <c r="GQ112" s="54"/>
      <c r="GR112" s="86"/>
      <c r="GS112" s="86"/>
      <c r="GU112" s="63"/>
      <c r="GV112" s="63"/>
      <c r="GW112" s="63"/>
      <c r="GX112" s="63"/>
      <c r="GZ112" s="63"/>
      <c r="HA112" s="54"/>
      <c r="HD112" s="86"/>
      <c r="HE112" s="54"/>
      <c r="HF112" s="54"/>
      <c r="HG112" s="54"/>
      <c r="HH112" s="54"/>
      <c r="HI112" s="86"/>
      <c r="HJ112" s="86"/>
      <c r="HQ112" s="63"/>
      <c r="HR112" s="54"/>
      <c r="HU112" s="86"/>
      <c r="HV112" s="54"/>
      <c r="HW112" s="54"/>
      <c r="HX112" s="54"/>
      <c r="HY112" s="54"/>
      <c r="HZ112" s="86"/>
      <c r="IA112" s="86"/>
      <c r="IF112" s="54"/>
      <c r="IH112" s="89"/>
      <c r="IK112" s="86"/>
      <c r="IL112" s="54"/>
      <c r="IM112" s="54"/>
      <c r="IN112" s="54"/>
      <c r="IO112" s="54"/>
      <c r="JB112" s="54"/>
      <c r="JC112" s="54"/>
      <c r="JD112" s="54"/>
      <c r="JE112" s="54"/>
    </row>
    <row r="113" spans="1:265">
      <c r="A113" s="86">
        <v>83</v>
      </c>
      <c r="B113" s="117"/>
      <c r="C113" s="117"/>
      <c r="D113" s="117"/>
      <c r="E113" s="117"/>
      <c r="K113" s="117"/>
      <c r="L113" s="45"/>
      <c r="M113" s="45"/>
      <c r="N113" s="45"/>
      <c r="O113" s="45"/>
      <c r="P113" s="45"/>
      <c r="Q113" s="45"/>
      <c r="R113" s="45"/>
      <c r="S113" s="117"/>
      <c r="T113" s="117"/>
      <c r="U113" s="74"/>
      <c r="V113" s="74"/>
      <c r="W113" s="74"/>
      <c r="X113" s="74"/>
      <c r="Y113" s="74"/>
      <c r="Z113" s="74"/>
      <c r="AA113" s="74"/>
      <c r="AB113" s="74"/>
      <c r="AC113" s="117"/>
      <c r="AD113" s="117"/>
      <c r="AE113" s="117"/>
      <c r="AF113" s="117"/>
      <c r="AG113" s="117"/>
      <c r="AH113" s="117"/>
      <c r="AI113" s="117"/>
      <c r="AJ113" s="117"/>
      <c r="AK113" s="117"/>
      <c r="AL113" s="117"/>
      <c r="AM113" s="117"/>
      <c r="AN113" s="117"/>
      <c r="AO113" s="117"/>
      <c r="AP113" s="117"/>
      <c r="AQ113" s="117"/>
      <c r="AR113" s="300"/>
      <c r="AS113" s="300"/>
      <c r="AT113" s="86"/>
      <c r="AU113" s="162"/>
      <c r="AV113" s="162"/>
      <c r="AW113" s="162"/>
      <c r="AX113" s="162"/>
      <c r="AY113" s="162"/>
      <c r="BB113" s="45"/>
      <c r="BC113" s="45"/>
      <c r="BD113" s="117"/>
      <c r="BE113" s="117"/>
      <c r="BF113" s="99"/>
      <c r="BG113" s="99"/>
      <c r="BH113" s="54"/>
      <c r="BI113" s="117"/>
      <c r="BJ113" s="117"/>
      <c r="BK113" s="117"/>
      <c r="BL113" s="117"/>
      <c r="BM113" s="117"/>
      <c r="BN113" s="117"/>
      <c r="BO113" s="117"/>
      <c r="BP113" s="117"/>
      <c r="BQ113" s="117"/>
      <c r="BR113" s="117"/>
      <c r="BS113" s="117"/>
      <c r="BT113" s="117"/>
      <c r="BU113" s="117"/>
      <c r="BV113" s="117"/>
      <c r="BW113" s="117"/>
      <c r="BX113" s="102"/>
      <c r="BY113" s="102"/>
      <c r="BZ113" s="102"/>
      <c r="CD113" s="5"/>
      <c r="CE113" s="5"/>
      <c r="CF113" s="5"/>
      <c r="CG113" s="46"/>
      <c r="CH113" s="86"/>
      <c r="CI113" s="86"/>
      <c r="CJ113" s="86"/>
      <c r="CL113" s="63"/>
      <c r="CM113" s="54"/>
      <c r="CN113" s="152"/>
      <c r="CO113" s="54"/>
      <c r="CP113" s="54"/>
      <c r="CQ113" s="86"/>
      <c r="CR113" s="63"/>
      <c r="CS113" s="63"/>
      <c r="CT113" s="63"/>
      <c r="CU113" s="63"/>
      <c r="CV113" s="86"/>
      <c r="CW113" s="86"/>
      <c r="CX113" s="86"/>
      <c r="DA113" s="54"/>
      <c r="DB113" s="54"/>
      <c r="DC113" s="54"/>
      <c r="DD113" s="54"/>
      <c r="DE113" s="54"/>
      <c r="DF113" s="54"/>
      <c r="DG113" s="54"/>
      <c r="DH113" s="63"/>
      <c r="DI113" s="63"/>
      <c r="DJ113" s="63"/>
      <c r="DK113" s="63"/>
      <c r="DL113" s="63"/>
      <c r="DN113" s="86"/>
      <c r="DO113" s="86"/>
      <c r="DP113" s="86"/>
      <c r="DR113" s="63"/>
      <c r="DS113" s="54"/>
      <c r="DT113" s="54"/>
      <c r="DU113" s="54"/>
      <c r="DV113" s="54"/>
      <c r="DW113" s="54"/>
      <c r="DX113" s="54"/>
      <c r="DY113" s="63"/>
      <c r="DZ113" s="63"/>
      <c r="EA113" s="63"/>
      <c r="EB113" s="63"/>
      <c r="EC113" s="63"/>
      <c r="EE113" s="86"/>
      <c r="EF113" s="86"/>
      <c r="EG113" s="86"/>
      <c r="EI113" s="63"/>
      <c r="EJ113" s="54"/>
      <c r="EK113" s="54"/>
      <c r="EL113" s="54"/>
      <c r="EM113" s="54"/>
      <c r="EN113" s="54"/>
      <c r="EQ113" s="86"/>
      <c r="ER113" s="86"/>
      <c r="EX113" s="54"/>
      <c r="EZ113" s="54"/>
      <c r="FA113" s="54"/>
      <c r="FB113" s="54"/>
      <c r="FC113" s="54"/>
      <c r="FG113" s="86"/>
      <c r="FH113" s="253"/>
      <c r="FL113" s="45"/>
      <c r="FP113" s="54"/>
      <c r="FQ113" s="54"/>
      <c r="FR113" s="54"/>
      <c r="FS113" s="54"/>
      <c r="FT113" s="63"/>
      <c r="FU113" s="54"/>
      <c r="FV113" s="54"/>
      <c r="FW113" s="54"/>
      <c r="FX113" s="86"/>
      <c r="FY113" s="86"/>
      <c r="FZ113" s="102"/>
      <c r="GA113" s="86"/>
      <c r="GB113" s="86"/>
      <c r="GD113" s="63"/>
      <c r="GE113" s="63"/>
      <c r="GF113" s="63"/>
      <c r="GG113" s="63"/>
      <c r="GH113" s="45"/>
      <c r="GI113" s="54"/>
      <c r="GJ113" s="54"/>
      <c r="GL113" s="86"/>
      <c r="GN113" s="54"/>
      <c r="GO113" s="54"/>
      <c r="GP113" s="54"/>
      <c r="GQ113" s="54"/>
      <c r="GR113" s="86"/>
      <c r="GS113" s="86"/>
      <c r="GU113" s="63"/>
      <c r="GV113" s="63"/>
      <c r="GW113" s="63"/>
      <c r="GX113" s="63"/>
      <c r="GZ113" s="63"/>
      <c r="HA113" s="54"/>
      <c r="HD113" s="86"/>
      <c r="HE113" s="54"/>
      <c r="HF113" s="54"/>
      <c r="HG113" s="54"/>
      <c r="HH113" s="54"/>
      <c r="HI113" s="86"/>
      <c r="HJ113" s="86"/>
      <c r="HQ113" s="63"/>
      <c r="HR113" s="54"/>
      <c r="HU113" s="86"/>
      <c r="HV113" s="54"/>
      <c r="HW113" s="54"/>
      <c r="HX113" s="54"/>
      <c r="HY113" s="54"/>
      <c r="HZ113" s="86"/>
      <c r="IA113" s="86"/>
      <c r="IF113" s="54"/>
      <c r="IH113" s="89"/>
      <c r="IK113" s="86"/>
      <c r="IL113" s="54"/>
      <c r="IM113" s="54"/>
      <c r="IN113" s="54"/>
      <c r="IO113" s="54"/>
      <c r="JB113" s="54"/>
      <c r="JC113" s="54"/>
      <c r="JD113" s="54"/>
      <c r="JE113" s="54"/>
    </row>
    <row r="114" spans="1:265">
      <c r="A114" s="86">
        <v>84</v>
      </c>
      <c r="B114" s="117"/>
      <c r="C114" s="117"/>
      <c r="D114" s="117"/>
      <c r="E114" s="117"/>
      <c r="K114" s="117"/>
      <c r="L114" s="45"/>
      <c r="M114" s="45"/>
      <c r="N114" s="45"/>
      <c r="O114" s="45"/>
      <c r="P114" s="45"/>
      <c r="Q114" s="45"/>
      <c r="R114" s="45"/>
      <c r="S114" s="117"/>
      <c r="T114" s="117"/>
      <c r="U114" s="74"/>
      <c r="V114" s="74"/>
      <c r="W114" s="74"/>
      <c r="X114" s="74"/>
      <c r="Y114" s="74"/>
      <c r="Z114" s="74"/>
      <c r="AA114" s="74"/>
      <c r="AB114" s="74"/>
      <c r="AC114" s="117"/>
      <c r="AD114" s="117"/>
      <c r="AE114" s="117"/>
      <c r="AF114" s="117"/>
      <c r="AG114" s="117"/>
      <c r="AH114" s="117"/>
      <c r="AI114" s="117"/>
      <c r="AJ114" s="117"/>
      <c r="AK114" s="117"/>
      <c r="AL114" s="117"/>
      <c r="AM114" s="117"/>
      <c r="AN114" s="117"/>
      <c r="AO114" s="117"/>
      <c r="AP114" s="117"/>
      <c r="AQ114" s="117"/>
      <c r="AR114" s="300"/>
      <c r="AS114" s="300"/>
      <c r="AT114" s="86"/>
      <c r="AU114" s="162"/>
      <c r="AV114" s="162"/>
      <c r="AW114" s="162"/>
      <c r="AX114" s="162"/>
      <c r="AY114" s="162"/>
      <c r="BB114" s="45"/>
      <c r="BC114" s="45"/>
      <c r="BD114" s="117"/>
      <c r="BE114" s="117"/>
      <c r="BF114" s="99"/>
      <c r="BG114" s="99"/>
      <c r="BH114" s="54"/>
      <c r="BI114" s="117"/>
      <c r="BJ114" s="117"/>
      <c r="BK114" s="117"/>
      <c r="BL114" s="117"/>
      <c r="BM114" s="117"/>
      <c r="BN114" s="117"/>
      <c r="BO114" s="117"/>
      <c r="BP114" s="117"/>
      <c r="BQ114" s="117"/>
      <c r="BR114" s="117"/>
      <c r="BS114" s="117"/>
      <c r="BT114" s="117"/>
      <c r="BU114" s="117"/>
      <c r="BV114" s="117"/>
      <c r="BW114" s="117"/>
      <c r="BX114" s="102"/>
      <c r="BY114" s="102"/>
      <c r="BZ114" s="102"/>
      <c r="CD114" s="5"/>
      <c r="CE114" s="5"/>
      <c r="CF114" s="5"/>
      <c r="CG114" s="46"/>
      <c r="CH114" s="86"/>
      <c r="CI114" s="86"/>
      <c r="CJ114" s="86"/>
      <c r="CL114" s="63"/>
      <c r="CM114" s="54"/>
      <c r="CN114" s="152"/>
      <c r="CO114" s="54"/>
      <c r="CP114" s="54"/>
      <c r="CQ114" s="86"/>
      <c r="CR114" s="63"/>
      <c r="CS114" s="63"/>
      <c r="CT114" s="63"/>
      <c r="CU114" s="63"/>
      <c r="CV114" s="86"/>
      <c r="CW114" s="86"/>
      <c r="CX114" s="86"/>
      <c r="DA114" s="54"/>
      <c r="DB114" s="54"/>
      <c r="DC114" s="54"/>
      <c r="DD114" s="54"/>
      <c r="DE114" s="54"/>
      <c r="DF114" s="54"/>
      <c r="DG114" s="54"/>
      <c r="DH114" s="63"/>
      <c r="DI114" s="63"/>
      <c r="DJ114" s="63"/>
      <c r="DK114" s="63"/>
      <c r="DL114" s="63"/>
      <c r="DN114" s="86"/>
      <c r="DO114" s="86"/>
      <c r="DP114" s="86"/>
      <c r="DR114" s="63"/>
      <c r="DS114" s="54"/>
      <c r="DT114" s="54"/>
      <c r="DU114" s="54"/>
      <c r="DV114" s="54"/>
      <c r="DW114" s="54"/>
      <c r="DX114" s="54"/>
      <c r="DY114" s="63"/>
      <c r="DZ114" s="63"/>
      <c r="EA114" s="63"/>
      <c r="EB114" s="63"/>
      <c r="EC114" s="63"/>
      <c r="EE114" s="86"/>
      <c r="EF114" s="86"/>
      <c r="EG114" s="86"/>
      <c r="EI114" s="63"/>
      <c r="EJ114" s="54"/>
      <c r="EK114" s="54"/>
      <c r="EL114" s="54"/>
      <c r="EM114" s="54"/>
      <c r="EN114" s="54"/>
      <c r="EQ114" s="86"/>
      <c r="ER114" s="86"/>
      <c r="EX114" s="54"/>
      <c r="EZ114" s="54"/>
      <c r="FA114" s="54"/>
      <c r="FB114" s="54"/>
      <c r="FC114" s="54"/>
      <c r="FG114" s="86"/>
      <c r="FH114" s="253"/>
      <c r="FL114" s="45"/>
      <c r="FP114" s="54"/>
      <c r="FQ114" s="54"/>
      <c r="FR114" s="54"/>
      <c r="FS114" s="54"/>
      <c r="FT114" s="63"/>
      <c r="FU114" s="54"/>
      <c r="FV114" s="54"/>
      <c r="FW114" s="54"/>
      <c r="FX114" s="86"/>
      <c r="FY114" s="86"/>
      <c r="FZ114" s="102"/>
      <c r="GA114" s="86"/>
      <c r="GB114" s="86"/>
      <c r="GD114" s="63"/>
      <c r="GE114" s="63"/>
      <c r="GF114" s="63"/>
      <c r="GG114" s="63"/>
      <c r="GH114" s="45"/>
      <c r="GI114" s="54"/>
      <c r="GJ114" s="54"/>
      <c r="GL114" s="86"/>
      <c r="GN114" s="54"/>
      <c r="GO114" s="54"/>
      <c r="GP114" s="54"/>
      <c r="GQ114" s="54"/>
      <c r="GR114" s="86"/>
      <c r="GS114" s="86"/>
      <c r="GU114" s="63"/>
      <c r="GV114" s="63"/>
      <c r="GW114" s="63"/>
      <c r="GX114" s="63"/>
      <c r="GZ114" s="63"/>
      <c r="HA114" s="54"/>
      <c r="HD114" s="86"/>
      <c r="HE114" s="54"/>
      <c r="HF114" s="54"/>
      <c r="HG114" s="54"/>
      <c r="HH114" s="54"/>
      <c r="HI114" s="86"/>
      <c r="HJ114" s="86"/>
      <c r="HQ114" s="63"/>
      <c r="HR114" s="54"/>
      <c r="HU114" s="86"/>
      <c r="HV114" s="54"/>
      <c r="HW114" s="54"/>
      <c r="HX114" s="54"/>
      <c r="HY114" s="54"/>
      <c r="HZ114" s="86"/>
      <c r="IA114" s="86"/>
      <c r="IF114" s="54"/>
      <c r="IH114" s="89"/>
      <c r="IK114" s="86"/>
      <c r="IL114" s="54"/>
      <c r="IM114" s="54"/>
      <c r="IN114" s="54"/>
      <c r="IO114" s="54"/>
      <c r="JB114" s="54"/>
      <c r="JC114" s="54"/>
      <c r="JD114" s="54"/>
      <c r="JE114" s="54"/>
    </row>
    <row r="115" spans="1:265">
      <c r="A115" s="86">
        <v>85</v>
      </c>
      <c r="B115" s="117"/>
      <c r="C115" s="117"/>
      <c r="D115" s="117"/>
      <c r="E115" s="117"/>
      <c r="K115" s="117"/>
      <c r="L115" s="45"/>
      <c r="M115" s="45"/>
      <c r="N115" s="45"/>
      <c r="O115" s="45"/>
      <c r="P115" s="45"/>
      <c r="Q115" s="45"/>
      <c r="R115" s="45"/>
      <c r="S115" s="117"/>
      <c r="T115" s="117"/>
      <c r="U115" s="74"/>
      <c r="V115" s="74"/>
      <c r="W115" s="74"/>
      <c r="X115" s="74"/>
      <c r="Y115" s="74"/>
      <c r="Z115" s="74"/>
      <c r="AA115" s="74"/>
      <c r="AB115" s="74"/>
      <c r="AC115" s="117"/>
      <c r="AD115" s="117"/>
      <c r="AE115" s="117"/>
      <c r="AF115" s="117"/>
      <c r="AG115" s="117"/>
      <c r="AH115" s="117"/>
      <c r="AI115" s="117"/>
      <c r="AJ115" s="117"/>
      <c r="AK115" s="117"/>
      <c r="AL115" s="117"/>
      <c r="AM115" s="117"/>
      <c r="AN115" s="117"/>
      <c r="AO115" s="117"/>
      <c r="AP115" s="117"/>
      <c r="AQ115" s="117"/>
      <c r="AR115" s="300"/>
      <c r="AS115" s="300"/>
      <c r="AT115" s="86"/>
      <c r="AU115" s="162"/>
      <c r="AV115" s="162"/>
      <c r="AW115" s="162"/>
      <c r="AX115" s="162"/>
      <c r="AY115" s="162"/>
      <c r="BB115" s="45"/>
      <c r="BC115" s="45"/>
      <c r="BD115" s="117"/>
      <c r="BE115" s="117"/>
      <c r="BF115" s="99"/>
      <c r="BG115" s="99"/>
      <c r="BH115" s="54"/>
      <c r="BI115" s="117"/>
      <c r="BJ115" s="117"/>
      <c r="BK115" s="117"/>
      <c r="BL115" s="117"/>
      <c r="BM115" s="117"/>
      <c r="BN115" s="117"/>
      <c r="BO115" s="117"/>
      <c r="BP115" s="117"/>
      <c r="BQ115" s="117"/>
      <c r="BR115" s="117"/>
      <c r="BS115" s="117"/>
      <c r="BT115" s="117"/>
      <c r="BU115" s="117"/>
      <c r="BV115" s="117"/>
      <c r="BW115" s="117"/>
      <c r="BX115" s="102"/>
      <c r="BY115" s="102"/>
      <c r="BZ115" s="102"/>
      <c r="CD115" s="5"/>
      <c r="CE115" s="5"/>
      <c r="CF115" s="5"/>
      <c r="CG115" s="46"/>
      <c r="CH115" s="86"/>
      <c r="CI115" s="86"/>
      <c r="CJ115" s="86"/>
      <c r="CL115" s="63"/>
      <c r="CM115" s="54"/>
      <c r="CN115" s="152"/>
      <c r="CO115" s="54"/>
      <c r="CP115" s="54"/>
      <c r="CQ115" s="86"/>
      <c r="CR115" s="63"/>
      <c r="CS115" s="63"/>
      <c r="CT115" s="63"/>
      <c r="CU115" s="63"/>
      <c r="CV115" s="86"/>
      <c r="CW115" s="86"/>
      <c r="CX115" s="86"/>
      <c r="DA115" s="54"/>
      <c r="DB115" s="54"/>
      <c r="DC115" s="54"/>
      <c r="DD115" s="54"/>
      <c r="DE115" s="54"/>
      <c r="DF115" s="54"/>
      <c r="DG115" s="54"/>
      <c r="DH115" s="63"/>
      <c r="DI115" s="63"/>
      <c r="DJ115" s="63"/>
      <c r="DK115" s="63"/>
      <c r="DL115" s="63"/>
      <c r="DN115" s="86"/>
      <c r="DO115" s="86"/>
      <c r="DP115" s="86"/>
      <c r="DR115" s="63"/>
      <c r="DS115" s="54"/>
      <c r="DT115" s="54"/>
      <c r="DU115" s="54"/>
      <c r="DV115" s="54"/>
      <c r="DW115" s="54"/>
      <c r="DX115" s="54"/>
      <c r="DY115" s="63"/>
      <c r="DZ115" s="63"/>
      <c r="EA115" s="63"/>
      <c r="EB115" s="63"/>
      <c r="EC115" s="63"/>
      <c r="EE115" s="86"/>
      <c r="EF115" s="86"/>
      <c r="EG115" s="86"/>
      <c r="EI115" s="63"/>
      <c r="EJ115" s="54"/>
      <c r="EK115" s="54"/>
      <c r="EL115" s="54"/>
      <c r="EM115" s="54"/>
      <c r="EN115" s="54"/>
      <c r="EQ115" s="86"/>
      <c r="ER115" s="86"/>
      <c r="EX115" s="54"/>
      <c r="EZ115" s="54"/>
      <c r="FA115" s="54"/>
      <c r="FB115" s="54"/>
      <c r="FC115" s="54"/>
      <c r="FG115" s="86"/>
      <c r="FH115" s="253"/>
      <c r="FL115" s="45"/>
      <c r="FP115" s="54"/>
      <c r="FQ115" s="54"/>
      <c r="FR115" s="54"/>
      <c r="FS115" s="54"/>
      <c r="FT115" s="63"/>
      <c r="FU115" s="54"/>
      <c r="FV115" s="54"/>
      <c r="FW115" s="54"/>
      <c r="FX115" s="86"/>
      <c r="FY115" s="86"/>
      <c r="FZ115" s="102"/>
      <c r="GA115" s="86"/>
      <c r="GB115" s="86"/>
      <c r="GD115" s="63"/>
      <c r="GE115" s="63"/>
      <c r="GF115" s="63"/>
      <c r="GG115" s="63"/>
      <c r="GH115" s="45"/>
      <c r="GI115" s="54"/>
      <c r="GJ115" s="54"/>
      <c r="GL115" s="86"/>
      <c r="GN115" s="54"/>
      <c r="GO115" s="54"/>
      <c r="GP115" s="54"/>
      <c r="GQ115" s="54"/>
      <c r="GR115" s="86"/>
      <c r="GS115" s="86"/>
      <c r="GU115" s="63"/>
      <c r="GV115" s="63"/>
      <c r="GW115" s="63"/>
      <c r="GX115" s="63"/>
      <c r="GZ115" s="63"/>
      <c r="HA115" s="54"/>
      <c r="HD115" s="86"/>
      <c r="HE115" s="54"/>
      <c r="HF115" s="54"/>
      <c r="HG115" s="54"/>
      <c r="HH115" s="54"/>
      <c r="HI115" s="86"/>
      <c r="HJ115" s="86"/>
      <c r="HQ115" s="63"/>
      <c r="HR115" s="54"/>
      <c r="HU115" s="86"/>
      <c r="HV115" s="54"/>
      <c r="HW115" s="54"/>
      <c r="HX115" s="54"/>
      <c r="HY115" s="54"/>
      <c r="HZ115" s="86"/>
      <c r="IA115" s="86"/>
      <c r="IF115" s="54"/>
      <c r="IH115" s="89"/>
      <c r="IK115" s="86"/>
      <c r="IL115" s="54"/>
      <c r="IM115" s="54"/>
      <c r="IN115" s="54"/>
      <c r="IO115" s="54"/>
      <c r="JB115" s="54"/>
      <c r="JC115" s="54"/>
      <c r="JD115" s="54"/>
      <c r="JE115" s="54"/>
    </row>
    <row r="116" spans="1:265">
      <c r="A116" s="86">
        <v>86</v>
      </c>
      <c r="B116" s="117"/>
      <c r="C116" s="117"/>
      <c r="D116" s="117"/>
      <c r="E116" s="117"/>
      <c r="K116" s="117"/>
      <c r="L116" s="45"/>
      <c r="M116" s="45"/>
      <c r="N116" s="45"/>
      <c r="O116" s="45"/>
      <c r="P116" s="45"/>
      <c r="Q116" s="45"/>
      <c r="R116" s="45"/>
      <c r="S116" s="117"/>
      <c r="T116" s="117"/>
      <c r="U116" s="74"/>
      <c r="V116" s="74"/>
      <c r="W116" s="74"/>
      <c r="X116" s="74"/>
      <c r="Y116" s="74"/>
      <c r="Z116" s="74"/>
      <c r="AA116" s="74"/>
      <c r="AB116" s="74"/>
      <c r="AC116" s="117"/>
      <c r="AD116" s="117"/>
      <c r="AE116" s="117"/>
      <c r="AF116" s="117"/>
      <c r="AG116" s="117"/>
      <c r="AH116" s="117"/>
      <c r="AI116" s="117"/>
      <c r="AJ116" s="117"/>
      <c r="AK116" s="117"/>
      <c r="AL116" s="117"/>
      <c r="AM116" s="117"/>
      <c r="AN116" s="117"/>
      <c r="AO116" s="117"/>
      <c r="AP116" s="117"/>
      <c r="AQ116" s="117"/>
      <c r="AR116" s="300"/>
      <c r="AS116" s="300"/>
      <c r="AT116" s="86"/>
      <c r="AU116" s="162"/>
      <c r="AV116" s="162"/>
      <c r="AW116" s="162"/>
      <c r="AX116" s="162"/>
      <c r="AY116" s="162"/>
      <c r="BB116" s="45"/>
      <c r="BC116" s="45"/>
      <c r="BD116" s="117"/>
      <c r="BE116" s="117"/>
      <c r="BF116" s="99"/>
      <c r="BG116" s="99"/>
      <c r="BH116" s="54"/>
      <c r="BI116" s="117"/>
      <c r="BJ116" s="117"/>
      <c r="BK116" s="117"/>
      <c r="BL116" s="117"/>
      <c r="BM116" s="117"/>
      <c r="BN116" s="117"/>
      <c r="BO116" s="117"/>
      <c r="BP116" s="117"/>
      <c r="BQ116" s="117"/>
      <c r="BR116" s="117"/>
      <c r="BS116" s="117"/>
      <c r="BT116" s="117"/>
      <c r="BU116" s="117"/>
      <c r="BV116" s="117"/>
      <c r="BW116" s="117"/>
      <c r="BX116" s="102"/>
      <c r="BY116" s="102"/>
      <c r="BZ116" s="102"/>
      <c r="CD116" s="5"/>
      <c r="CE116" s="5"/>
      <c r="CF116" s="5"/>
      <c r="CG116" s="46"/>
      <c r="CH116" s="86"/>
      <c r="CI116" s="86"/>
      <c r="CJ116" s="86"/>
      <c r="CL116" s="63"/>
      <c r="CM116" s="54"/>
      <c r="CN116" s="152"/>
      <c r="CO116" s="54"/>
      <c r="CP116" s="54"/>
      <c r="CQ116" s="86"/>
      <c r="CR116" s="63"/>
      <c r="CS116" s="63"/>
      <c r="CT116" s="63"/>
      <c r="CU116" s="63"/>
      <c r="CV116" s="86"/>
      <c r="CW116" s="86"/>
      <c r="CX116" s="86"/>
      <c r="DA116" s="54"/>
      <c r="DB116" s="54"/>
      <c r="DC116" s="54"/>
      <c r="DD116" s="54"/>
      <c r="DE116" s="54"/>
      <c r="DF116" s="54"/>
      <c r="DG116" s="54"/>
      <c r="DH116" s="63"/>
      <c r="DI116" s="63"/>
      <c r="DJ116" s="63"/>
      <c r="DK116" s="63"/>
      <c r="DL116" s="63"/>
      <c r="DN116" s="86"/>
      <c r="DO116" s="86"/>
      <c r="DP116" s="86"/>
      <c r="DR116" s="63"/>
      <c r="DS116" s="54"/>
      <c r="DT116" s="54"/>
      <c r="DU116" s="54"/>
      <c r="DV116" s="54"/>
      <c r="DW116" s="54"/>
      <c r="DX116" s="54"/>
      <c r="DY116" s="63"/>
      <c r="DZ116" s="63"/>
      <c r="EA116" s="63"/>
      <c r="EB116" s="63"/>
      <c r="EC116" s="63"/>
      <c r="EE116" s="86"/>
      <c r="EF116" s="86"/>
      <c r="EG116" s="86"/>
      <c r="EI116" s="63"/>
      <c r="EJ116" s="54"/>
      <c r="EK116" s="54"/>
      <c r="EL116" s="54"/>
      <c r="EM116" s="54"/>
      <c r="EN116" s="54"/>
      <c r="EQ116" s="86"/>
      <c r="ER116" s="86"/>
      <c r="EX116" s="54"/>
      <c r="EZ116" s="54"/>
      <c r="FA116" s="54"/>
      <c r="FB116" s="54"/>
      <c r="FC116" s="54"/>
      <c r="FG116" s="86"/>
      <c r="FH116" s="253"/>
      <c r="FL116" s="45"/>
      <c r="FP116" s="54"/>
      <c r="FQ116" s="54"/>
      <c r="FR116" s="54"/>
      <c r="FS116" s="54"/>
      <c r="FT116" s="63"/>
      <c r="FU116" s="54"/>
      <c r="FV116" s="54"/>
      <c r="FW116" s="54"/>
      <c r="FX116" s="86"/>
      <c r="FY116" s="86"/>
      <c r="FZ116" s="102"/>
      <c r="GA116" s="86"/>
      <c r="GB116" s="86"/>
      <c r="GD116" s="63"/>
      <c r="GE116" s="63"/>
      <c r="GF116" s="63"/>
      <c r="GG116" s="63"/>
      <c r="GH116" s="45"/>
      <c r="GI116" s="54"/>
      <c r="GJ116" s="54"/>
      <c r="GL116" s="86"/>
      <c r="GN116" s="54"/>
      <c r="GO116" s="54"/>
      <c r="GP116" s="54"/>
      <c r="GQ116" s="54"/>
      <c r="GR116" s="86"/>
      <c r="GS116" s="86"/>
      <c r="GU116" s="63"/>
      <c r="GV116" s="63"/>
      <c r="GW116" s="63"/>
      <c r="GX116" s="63"/>
      <c r="GZ116" s="63"/>
      <c r="HA116" s="54"/>
      <c r="HD116" s="86"/>
      <c r="HE116" s="54"/>
      <c r="HF116" s="54"/>
      <c r="HG116" s="54"/>
      <c r="HH116" s="54"/>
      <c r="HI116" s="86"/>
      <c r="HJ116" s="86"/>
      <c r="HQ116" s="63"/>
      <c r="HR116" s="54"/>
      <c r="HU116" s="86"/>
      <c r="HV116" s="54"/>
      <c r="HW116" s="54"/>
      <c r="HX116" s="54"/>
      <c r="HY116" s="54"/>
      <c r="HZ116" s="86"/>
      <c r="IA116" s="86"/>
      <c r="IF116" s="54"/>
      <c r="IH116" s="89"/>
      <c r="IK116" s="86"/>
      <c r="IL116" s="54"/>
      <c r="IM116" s="54"/>
      <c r="IN116" s="54"/>
      <c r="IO116" s="54"/>
      <c r="JB116" s="54"/>
      <c r="JC116" s="54"/>
      <c r="JD116" s="54"/>
      <c r="JE116" s="54"/>
    </row>
    <row r="117" spans="1:265">
      <c r="A117" s="86">
        <v>87</v>
      </c>
      <c r="B117" s="117"/>
      <c r="C117" s="117"/>
      <c r="D117" s="117"/>
      <c r="E117" s="117"/>
      <c r="K117" s="117"/>
      <c r="L117" s="45"/>
      <c r="M117" s="45"/>
      <c r="N117" s="45"/>
      <c r="O117" s="45"/>
      <c r="P117" s="45"/>
      <c r="Q117" s="45"/>
      <c r="R117" s="45"/>
      <c r="S117" s="117"/>
      <c r="T117" s="117"/>
      <c r="U117" s="74"/>
      <c r="V117" s="74"/>
      <c r="W117" s="74"/>
      <c r="X117" s="74"/>
      <c r="Y117" s="74"/>
      <c r="Z117" s="74"/>
      <c r="AA117" s="74"/>
      <c r="AB117" s="74"/>
      <c r="AC117" s="117"/>
      <c r="AD117" s="117"/>
      <c r="AE117" s="117"/>
      <c r="AF117" s="117"/>
      <c r="AG117" s="117"/>
      <c r="AH117" s="117"/>
      <c r="AI117" s="117"/>
      <c r="AJ117" s="117"/>
      <c r="AK117" s="117"/>
      <c r="AL117" s="117"/>
      <c r="AM117" s="117"/>
      <c r="AN117" s="117"/>
      <c r="AO117" s="117"/>
      <c r="AP117" s="117"/>
      <c r="AQ117" s="117"/>
      <c r="AR117" s="300"/>
      <c r="AS117" s="300"/>
      <c r="AT117" s="86"/>
      <c r="AU117" s="162"/>
      <c r="AV117" s="162"/>
      <c r="AW117" s="162"/>
      <c r="AX117" s="162"/>
      <c r="AY117" s="162"/>
      <c r="BB117" s="45"/>
      <c r="BC117" s="45"/>
      <c r="BD117" s="117"/>
      <c r="BE117" s="117"/>
      <c r="BF117" s="99"/>
      <c r="BG117" s="99"/>
      <c r="BH117" s="54"/>
      <c r="BI117" s="117"/>
      <c r="BJ117" s="117"/>
      <c r="BK117" s="117"/>
      <c r="BL117" s="117"/>
      <c r="BM117" s="117"/>
      <c r="BN117" s="117"/>
      <c r="BO117" s="117"/>
      <c r="BP117" s="117"/>
      <c r="BQ117" s="117"/>
      <c r="BR117" s="117"/>
      <c r="BS117" s="117"/>
      <c r="BT117" s="117"/>
      <c r="BU117" s="117"/>
      <c r="BV117" s="117"/>
      <c r="BW117" s="117"/>
      <c r="BX117" s="102"/>
      <c r="BY117" s="102"/>
      <c r="BZ117" s="102"/>
      <c r="CD117" s="5"/>
      <c r="CE117" s="5"/>
      <c r="CF117" s="5"/>
      <c r="CG117" s="46"/>
      <c r="CH117" s="86"/>
      <c r="CI117" s="86"/>
      <c r="CJ117" s="86"/>
      <c r="CL117" s="63"/>
      <c r="CM117" s="54"/>
      <c r="CN117" s="152"/>
      <c r="CO117" s="54"/>
      <c r="CP117" s="54"/>
      <c r="CQ117" s="86"/>
      <c r="CR117" s="63"/>
      <c r="CS117" s="63"/>
      <c r="CT117" s="63"/>
      <c r="CU117" s="63"/>
      <c r="CV117" s="86"/>
      <c r="CW117" s="86"/>
      <c r="CX117" s="86"/>
      <c r="DA117" s="54"/>
      <c r="DB117" s="54"/>
      <c r="DC117" s="54"/>
      <c r="DD117" s="54"/>
      <c r="DE117" s="54"/>
      <c r="DF117" s="54"/>
      <c r="DG117" s="54"/>
      <c r="DH117" s="63"/>
      <c r="DI117" s="63"/>
      <c r="DJ117" s="63"/>
      <c r="DK117" s="63"/>
      <c r="DL117" s="63"/>
      <c r="DN117" s="86"/>
      <c r="DO117" s="86"/>
      <c r="DP117" s="86"/>
      <c r="DR117" s="63"/>
      <c r="DS117" s="54"/>
      <c r="DT117" s="54"/>
      <c r="DU117" s="54"/>
      <c r="DV117" s="54"/>
      <c r="DW117" s="54"/>
      <c r="DX117" s="54"/>
      <c r="DY117" s="63"/>
      <c r="DZ117" s="63"/>
      <c r="EA117" s="63"/>
      <c r="EB117" s="63"/>
      <c r="EC117" s="63"/>
      <c r="EE117" s="86"/>
      <c r="EF117" s="86"/>
      <c r="EG117" s="86"/>
      <c r="EI117" s="63"/>
      <c r="EJ117" s="54"/>
      <c r="EK117" s="54"/>
      <c r="EL117" s="54"/>
      <c r="EM117" s="54"/>
      <c r="EN117" s="54"/>
      <c r="EQ117" s="86"/>
      <c r="ER117" s="86"/>
      <c r="EX117" s="54"/>
      <c r="EZ117" s="54"/>
      <c r="FA117" s="54"/>
      <c r="FB117" s="54"/>
      <c r="FC117" s="54"/>
      <c r="FG117" s="86"/>
      <c r="FH117" s="253"/>
      <c r="FL117" s="45"/>
      <c r="FP117" s="54"/>
      <c r="FQ117" s="54"/>
      <c r="FR117" s="54"/>
      <c r="FS117" s="54"/>
      <c r="FT117" s="63"/>
      <c r="FU117" s="54"/>
      <c r="FV117" s="54"/>
      <c r="FW117" s="54"/>
      <c r="FX117" s="86"/>
      <c r="FY117" s="86"/>
      <c r="FZ117" s="102"/>
      <c r="GA117" s="86"/>
      <c r="GB117" s="86"/>
      <c r="GD117" s="63"/>
      <c r="GE117" s="63"/>
      <c r="GF117" s="63"/>
      <c r="GG117" s="63"/>
      <c r="GH117" s="45"/>
      <c r="GI117" s="54"/>
      <c r="GJ117" s="54"/>
      <c r="GL117" s="86"/>
      <c r="GN117" s="54"/>
      <c r="GO117" s="54"/>
      <c r="GP117" s="54"/>
      <c r="GQ117" s="54"/>
      <c r="GR117" s="86"/>
      <c r="GS117" s="86"/>
      <c r="GU117" s="63"/>
      <c r="GV117" s="63"/>
      <c r="GW117" s="63"/>
      <c r="GX117" s="63"/>
      <c r="GZ117" s="63"/>
      <c r="HA117" s="54"/>
      <c r="HD117" s="86"/>
      <c r="HE117" s="54"/>
      <c r="HF117" s="54"/>
      <c r="HG117" s="54"/>
      <c r="HH117" s="54"/>
      <c r="HI117" s="86"/>
      <c r="HJ117" s="86"/>
      <c r="HQ117" s="63"/>
      <c r="HR117" s="54"/>
      <c r="HU117" s="86"/>
      <c r="HV117" s="54"/>
      <c r="HW117" s="54"/>
      <c r="HX117" s="54"/>
      <c r="HY117" s="54"/>
      <c r="HZ117" s="86"/>
      <c r="IA117" s="86"/>
      <c r="IF117" s="54"/>
      <c r="IH117" s="89"/>
      <c r="IK117" s="86"/>
      <c r="IL117" s="54"/>
      <c r="IM117" s="54"/>
      <c r="IN117" s="54"/>
      <c r="IO117" s="54"/>
      <c r="JB117" s="54"/>
      <c r="JC117" s="54"/>
      <c r="JD117" s="54"/>
      <c r="JE117" s="54"/>
    </row>
    <row r="118" spans="1:265">
      <c r="A118" s="86">
        <v>88</v>
      </c>
      <c r="B118" s="117"/>
      <c r="C118" s="117"/>
      <c r="D118" s="117"/>
      <c r="E118" s="117"/>
      <c r="K118" s="117"/>
      <c r="L118" s="45"/>
      <c r="M118" s="45"/>
      <c r="N118" s="45"/>
      <c r="O118" s="45"/>
      <c r="P118" s="45"/>
      <c r="Q118" s="45"/>
      <c r="R118" s="45"/>
      <c r="S118" s="117"/>
      <c r="T118" s="117"/>
      <c r="U118" s="74"/>
      <c r="V118" s="74"/>
      <c r="W118" s="74"/>
      <c r="X118" s="74"/>
      <c r="Y118" s="74"/>
      <c r="Z118" s="74"/>
      <c r="AA118" s="74"/>
      <c r="AB118" s="74"/>
      <c r="AC118" s="117"/>
      <c r="AD118" s="117"/>
      <c r="AE118" s="117"/>
      <c r="AF118" s="117"/>
      <c r="AG118" s="117"/>
      <c r="AH118" s="117"/>
      <c r="AI118" s="117"/>
      <c r="AJ118" s="117"/>
      <c r="AK118" s="117"/>
      <c r="AL118" s="117"/>
      <c r="AM118" s="117"/>
      <c r="AN118" s="117"/>
      <c r="AO118" s="117"/>
      <c r="AP118" s="117"/>
      <c r="AQ118" s="117"/>
      <c r="AR118" s="300"/>
      <c r="AS118" s="300"/>
      <c r="AT118" s="86"/>
      <c r="AU118" s="162"/>
      <c r="AV118" s="162"/>
      <c r="AW118" s="162"/>
      <c r="AX118" s="162"/>
      <c r="AY118" s="162"/>
      <c r="BB118" s="45"/>
      <c r="BC118" s="45"/>
      <c r="BD118" s="117"/>
      <c r="BE118" s="117"/>
      <c r="BF118" s="99"/>
      <c r="BG118" s="99"/>
      <c r="BH118" s="54"/>
      <c r="BI118" s="117"/>
      <c r="BJ118" s="117"/>
      <c r="BK118" s="117"/>
      <c r="BL118" s="117"/>
      <c r="BM118" s="117"/>
      <c r="BN118" s="117"/>
      <c r="BO118" s="117"/>
      <c r="BP118" s="117"/>
      <c r="BQ118" s="117"/>
      <c r="BR118" s="117"/>
      <c r="BS118" s="117"/>
      <c r="BT118" s="117"/>
      <c r="BU118" s="117"/>
      <c r="BV118" s="117"/>
      <c r="BW118" s="117"/>
      <c r="BX118" s="102"/>
      <c r="BY118" s="102"/>
      <c r="BZ118" s="102"/>
      <c r="CD118" s="5"/>
      <c r="CE118" s="5"/>
      <c r="CF118" s="5"/>
      <c r="CG118" s="46"/>
      <c r="CH118" s="86"/>
      <c r="CI118" s="86"/>
      <c r="CJ118" s="86"/>
      <c r="CL118" s="63"/>
      <c r="CM118" s="54"/>
      <c r="CN118" s="152"/>
      <c r="CO118" s="54"/>
      <c r="CP118" s="54"/>
      <c r="CQ118" s="86"/>
      <c r="CR118" s="63"/>
      <c r="CS118" s="63"/>
      <c r="CT118" s="63"/>
      <c r="CU118" s="63"/>
      <c r="CV118" s="86"/>
      <c r="CW118" s="86"/>
      <c r="CX118" s="86"/>
      <c r="DA118" s="54"/>
      <c r="DB118" s="54"/>
      <c r="DC118" s="54"/>
      <c r="DD118" s="54"/>
      <c r="DE118" s="54"/>
      <c r="DF118" s="54"/>
      <c r="DG118" s="54"/>
      <c r="DH118" s="63"/>
      <c r="DI118" s="63"/>
      <c r="DJ118" s="63"/>
      <c r="DK118" s="63"/>
      <c r="DL118" s="63"/>
      <c r="DN118" s="86"/>
      <c r="DO118" s="86"/>
      <c r="DP118" s="86"/>
      <c r="DR118" s="63"/>
      <c r="DS118" s="54"/>
      <c r="DT118" s="54"/>
      <c r="DU118" s="54"/>
      <c r="DV118" s="54"/>
      <c r="DW118" s="54"/>
      <c r="DX118" s="54"/>
      <c r="DY118" s="63"/>
      <c r="DZ118" s="63"/>
      <c r="EA118" s="63"/>
      <c r="EB118" s="63"/>
      <c r="EC118" s="63"/>
      <c r="EE118" s="86"/>
      <c r="EF118" s="86"/>
      <c r="EG118" s="86"/>
      <c r="EI118" s="63"/>
      <c r="EJ118" s="54"/>
      <c r="EK118" s="54"/>
      <c r="EL118" s="54"/>
      <c r="EM118" s="54"/>
      <c r="EN118" s="54"/>
      <c r="EQ118" s="86"/>
      <c r="ER118" s="86"/>
      <c r="EX118" s="54"/>
      <c r="EZ118" s="54"/>
      <c r="FA118" s="54"/>
      <c r="FB118" s="54"/>
      <c r="FC118" s="54"/>
      <c r="FG118" s="86"/>
      <c r="FH118" s="253"/>
      <c r="FL118" s="45"/>
      <c r="FP118" s="54"/>
      <c r="FQ118" s="54"/>
      <c r="FR118" s="54"/>
      <c r="FS118" s="54"/>
      <c r="FT118" s="63"/>
      <c r="FU118" s="54"/>
      <c r="FV118" s="54"/>
      <c r="FW118" s="54"/>
      <c r="FX118" s="86"/>
      <c r="FY118" s="86"/>
      <c r="FZ118" s="102"/>
      <c r="GA118" s="86"/>
      <c r="GB118" s="86"/>
      <c r="GD118" s="63"/>
      <c r="GE118" s="63"/>
      <c r="GF118" s="63"/>
      <c r="GG118" s="63"/>
      <c r="GH118" s="45"/>
      <c r="GI118" s="54"/>
      <c r="GJ118" s="54"/>
      <c r="GL118" s="86"/>
      <c r="GN118" s="54"/>
      <c r="GO118" s="54"/>
      <c r="GP118" s="54"/>
      <c r="GQ118" s="54"/>
      <c r="GR118" s="86"/>
      <c r="GS118" s="86"/>
      <c r="GU118" s="63"/>
      <c r="GV118" s="63"/>
      <c r="GW118" s="63"/>
      <c r="GX118" s="63"/>
      <c r="GZ118" s="63"/>
      <c r="HA118" s="54"/>
      <c r="HD118" s="86"/>
      <c r="HE118" s="54"/>
      <c r="HF118" s="54"/>
      <c r="HG118" s="54"/>
      <c r="HH118" s="54"/>
      <c r="HI118" s="86"/>
      <c r="HJ118" s="86"/>
      <c r="HQ118" s="63"/>
      <c r="HR118" s="54"/>
      <c r="HU118" s="86"/>
      <c r="HV118" s="54"/>
      <c r="HW118" s="54"/>
      <c r="HX118" s="54"/>
      <c r="HY118" s="54"/>
      <c r="HZ118" s="86"/>
      <c r="IA118" s="86"/>
      <c r="IF118" s="54"/>
      <c r="IH118" s="89"/>
      <c r="IK118" s="86"/>
      <c r="IL118" s="54"/>
      <c r="IM118" s="54"/>
      <c r="IN118" s="54"/>
      <c r="IO118" s="54"/>
      <c r="JB118" s="54"/>
      <c r="JC118" s="54"/>
      <c r="JD118" s="54"/>
      <c r="JE118" s="54"/>
    </row>
    <row r="119" spans="1:265">
      <c r="A119" s="86">
        <v>89</v>
      </c>
      <c r="B119" s="117"/>
      <c r="C119" s="117"/>
      <c r="D119" s="117"/>
      <c r="E119" s="117"/>
      <c r="K119" s="117"/>
      <c r="L119" s="45"/>
      <c r="M119" s="45"/>
      <c r="N119" s="45"/>
      <c r="O119" s="45"/>
      <c r="P119" s="45"/>
      <c r="Q119" s="45"/>
      <c r="R119" s="45"/>
      <c r="S119" s="117"/>
      <c r="T119" s="117"/>
      <c r="U119" s="74"/>
      <c r="V119" s="74"/>
      <c r="W119" s="74"/>
      <c r="X119" s="74"/>
      <c r="Y119" s="74"/>
      <c r="Z119" s="74"/>
      <c r="AA119" s="74"/>
      <c r="AB119" s="74"/>
      <c r="AC119" s="117"/>
      <c r="AD119" s="117"/>
      <c r="AE119" s="117"/>
      <c r="AF119" s="117"/>
      <c r="AG119" s="117"/>
      <c r="AH119" s="117"/>
      <c r="AI119" s="117"/>
      <c r="AJ119" s="117"/>
      <c r="AK119" s="117"/>
      <c r="AL119" s="117"/>
      <c r="AM119" s="117"/>
      <c r="AN119" s="117"/>
      <c r="AO119" s="117"/>
      <c r="AP119" s="117"/>
      <c r="AQ119" s="117"/>
      <c r="AR119" s="300"/>
      <c r="AS119" s="300"/>
      <c r="AT119" s="86"/>
      <c r="AU119" s="162"/>
      <c r="AV119" s="162"/>
      <c r="AW119" s="162"/>
      <c r="AX119" s="162"/>
      <c r="AY119" s="162"/>
      <c r="BB119" s="45"/>
      <c r="BC119" s="45"/>
      <c r="BD119" s="117"/>
      <c r="BE119" s="117"/>
      <c r="BF119" s="99"/>
      <c r="BG119" s="99"/>
      <c r="BH119" s="54"/>
      <c r="BI119" s="117"/>
      <c r="BJ119" s="117"/>
      <c r="BK119" s="117"/>
      <c r="BL119" s="117"/>
      <c r="BM119" s="117"/>
      <c r="BN119" s="117"/>
      <c r="BO119" s="117"/>
      <c r="BP119" s="117"/>
      <c r="BQ119" s="117"/>
      <c r="BR119" s="117"/>
      <c r="BS119" s="117"/>
      <c r="BT119" s="117"/>
      <c r="BU119" s="117"/>
      <c r="BV119" s="117"/>
      <c r="BW119" s="117"/>
      <c r="BX119" s="102"/>
      <c r="BY119" s="102"/>
      <c r="BZ119" s="102"/>
      <c r="CD119" s="5"/>
      <c r="CE119" s="5"/>
      <c r="CF119" s="5"/>
      <c r="CG119" s="46"/>
      <c r="CH119" s="86"/>
      <c r="CI119" s="86"/>
      <c r="CJ119" s="86"/>
      <c r="CL119" s="63"/>
      <c r="CM119" s="54"/>
      <c r="CN119" s="152"/>
      <c r="CO119" s="54"/>
      <c r="CP119" s="54"/>
      <c r="CQ119" s="86"/>
      <c r="CR119" s="63"/>
      <c r="CS119" s="63"/>
      <c r="CT119" s="63"/>
      <c r="CU119" s="63"/>
      <c r="CV119" s="86"/>
      <c r="CW119" s="86"/>
      <c r="CX119" s="86"/>
      <c r="DA119" s="54"/>
      <c r="DB119" s="54"/>
      <c r="DC119" s="54"/>
      <c r="DD119" s="54"/>
      <c r="DE119" s="54"/>
      <c r="DF119" s="54"/>
      <c r="DG119" s="54"/>
      <c r="DH119" s="63"/>
      <c r="DI119" s="63"/>
      <c r="DJ119" s="63"/>
      <c r="DK119" s="63"/>
      <c r="DL119" s="63"/>
      <c r="DN119" s="86"/>
      <c r="DO119" s="86"/>
      <c r="DP119" s="86"/>
      <c r="DR119" s="63"/>
      <c r="DS119" s="54"/>
      <c r="DT119" s="54"/>
      <c r="DU119" s="54"/>
      <c r="DV119" s="54"/>
      <c r="DW119" s="54"/>
      <c r="DX119" s="54"/>
      <c r="DY119" s="63"/>
      <c r="DZ119" s="63"/>
      <c r="EA119" s="63"/>
      <c r="EB119" s="63"/>
      <c r="EC119" s="63"/>
      <c r="EE119" s="86"/>
      <c r="EF119" s="86"/>
      <c r="EG119" s="86"/>
      <c r="EI119" s="63"/>
      <c r="EJ119" s="54"/>
      <c r="EK119" s="54"/>
      <c r="EL119" s="54"/>
      <c r="EM119" s="54"/>
      <c r="EN119" s="54"/>
      <c r="EQ119" s="86"/>
      <c r="ER119" s="86"/>
      <c r="EX119" s="54"/>
      <c r="EZ119" s="54"/>
      <c r="FA119" s="54"/>
      <c r="FB119" s="54"/>
      <c r="FC119" s="54"/>
      <c r="FG119" s="86"/>
      <c r="FH119" s="253"/>
      <c r="FL119" s="45"/>
      <c r="FP119" s="54"/>
      <c r="FQ119" s="54"/>
      <c r="FR119" s="54"/>
      <c r="FS119" s="54"/>
      <c r="FT119" s="63"/>
      <c r="FU119" s="54"/>
      <c r="FV119" s="54"/>
      <c r="FW119" s="54"/>
      <c r="FX119" s="86"/>
      <c r="FY119" s="86"/>
      <c r="FZ119" s="102"/>
      <c r="GA119" s="86"/>
      <c r="GB119" s="86"/>
      <c r="GD119" s="63"/>
      <c r="GE119" s="63"/>
      <c r="GF119" s="63"/>
      <c r="GG119" s="63"/>
      <c r="GH119" s="45"/>
      <c r="GI119" s="54"/>
      <c r="GJ119" s="54"/>
      <c r="GL119" s="86"/>
      <c r="GN119" s="54"/>
      <c r="GO119" s="54"/>
      <c r="GP119" s="54"/>
      <c r="GQ119" s="54"/>
      <c r="GR119" s="86"/>
      <c r="GS119" s="86"/>
      <c r="GU119" s="63"/>
      <c r="GV119" s="63"/>
      <c r="GW119" s="63"/>
      <c r="GX119" s="63"/>
      <c r="GZ119" s="63"/>
      <c r="HA119" s="54"/>
      <c r="HD119" s="86"/>
      <c r="HE119" s="54"/>
      <c r="HF119" s="54"/>
      <c r="HG119" s="54"/>
      <c r="HH119" s="54"/>
      <c r="HI119" s="86"/>
      <c r="HJ119" s="86"/>
      <c r="HQ119" s="63"/>
      <c r="HR119" s="54"/>
      <c r="HU119" s="86"/>
      <c r="HV119" s="54"/>
      <c r="HW119" s="54"/>
      <c r="HX119" s="54"/>
      <c r="HY119" s="54"/>
      <c r="HZ119" s="86"/>
      <c r="IA119" s="86"/>
      <c r="IF119" s="54"/>
      <c r="IH119" s="89"/>
      <c r="IK119" s="86"/>
      <c r="IL119" s="54"/>
      <c r="IM119" s="54"/>
      <c r="IN119" s="54"/>
      <c r="IO119" s="54"/>
      <c r="JB119" s="54"/>
      <c r="JC119" s="54"/>
      <c r="JD119" s="54"/>
      <c r="JE119" s="54"/>
    </row>
    <row r="120" spans="1:265">
      <c r="A120" s="86">
        <v>90</v>
      </c>
      <c r="B120" s="117"/>
      <c r="C120" s="117"/>
      <c r="D120" s="117"/>
      <c r="E120" s="117"/>
      <c r="K120" s="117"/>
      <c r="L120" s="45"/>
      <c r="M120" s="45"/>
      <c r="N120" s="45"/>
      <c r="O120" s="45"/>
      <c r="P120" s="45"/>
      <c r="Q120" s="45"/>
      <c r="R120" s="45"/>
      <c r="S120" s="117"/>
      <c r="T120" s="117"/>
      <c r="U120" s="74"/>
      <c r="V120" s="74"/>
      <c r="W120" s="74"/>
      <c r="X120" s="74"/>
      <c r="Y120" s="74"/>
      <c r="Z120" s="74"/>
      <c r="AA120" s="74"/>
      <c r="AB120" s="74"/>
      <c r="AC120" s="117"/>
      <c r="AD120" s="117"/>
      <c r="AE120" s="117"/>
      <c r="AF120" s="117"/>
      <c r="AG120" s="117"/>
      <c r="AH120" s="117"/>
      <c r="AI120" s="117"/>
      <c r="AJ120" s="117"/>
      <c r="AK120" s="117"/>
      <c r="AL120" s="117"/>
      <c r="AM120" s="117"/>
      <c r="AN120" s="117"/>
      <c r="AO120" s="117"/>
      <c r="AP120" s="117"/>
      <c r="AQ120" s="117"/>
      <c r="AR120" s="300"/>
      <c r="AS120" s="300"/>
      <c r="AT120" s="86"/>
      <c r="AU120" s="162"/>
      <c r="AV120" s="162"/>
      <c r="AW120" s="162"/>
      <c r="AX120" s="162"/>
      <c r="AY120" s="162"/>
      <c r="BB120" s="45"/>
      <c r="BC120" s="45"/>
      <c r="BD120" s="117"/>
      <c r="BE120" s="117"/>
      <c r="BF120" s="99"/>
      <c r="BG120" s="99"/>
      <c r="BH120" s="54"/>
      <c r="BI120" s="117"/>
      <c r="BJ120" s="117"/>
      <c r="BK120" s="117"/>
      <c r="BL120" s="117"/>
      <c r="BM120" s="117"/>
      <c r="BN120" s="117"/>
      <c r="BO120" s="117"/>
      <c r="BP120" s="117"/>
      <c r="BQ120" s="117"/>
      <c r="BR120" s="117"/>
      <c r="BS120" s="117"/>
      <c r="BT120" s="117"/>
      <c r="BU120" s="117"/>
      <c r="BV120" s="117"/>
      <c r="BW120" s="117"/>
      <c r="BX120" s="102"/>
      <c r="BY120" s="102"/>
      <c r="BZ120" s="102"/>
      <c r="CD120" s="5"/>
      <c r="CE120" s="5"/>
      <c r="CF120" s="5"/>
      <c r="CG120" s="46"/>
      <c r="CH120" s="86"/>
      <c r="CI120" s="86"/>
      <c r="CJ120" s="86"/>
      <c r="CL120" s="63"/>
      <c r="CM120" s="54"/>
      <c r="CN120" s="152"/>
      <c r="CO120" s="54"/>
      <c r="CP120" s="54"/>
      <c r="CQ120" s="86"/>
      <c r="CR120" s="63"/>
      <c r="CS120" s="63"/>
      <c r="CT120" s="63"/>
      <c r="CU120" s="63"/>
      <c r="CV120" s="86"/>
      <c r="CW120" s="86"/>
      <c r="CX120" s="86"/>
      <c r="DA120" s="54"/>
      <c r="DB120" s="54"/>
      <c r="DC120" s="54"/>
      <c r="DD120" s="54"/>
      <c r="DE120" s="54"/>
      <c r="DF120" s="54"/>
      <c r="DG120" s="54"/>
      <c r="DH120" s="63"/>
      <c r="DI120" s="63"/>
      <c r="DJ120" s="63"/>
      <c r="DK120" s="63"/>
      <c r="DL120" s="63"/>
      <c r="DN120" s="86"/>
      <c r="DO120" s="86"/>
      <c r="DP120" s="86"/>
      <c r="DR120" s="63"/>
      <c r="DS120" s="54"/>
      <c r="DT120" s="54"/>
      <c r="DU120" s="54"/>
      <c r="DV120" s="54"/>
      <c r="DW120" s="54"/>
      <c r="DX120" s="54"/>
      <c r="DY120" s="63"/>
      <c r="DZ120" s="63"/>
      <c r="EA120" s="63"/>
      <c r="EB120" s="63"/>
      <c r="EC120" s="63"/>
      <c r="EE120" s="86"/>
      <c r="EF120" s="86"/>
      <c r="EG120" s="86"/>
      <c r="EI120" s="63"/>
      <c r="EJ120" s="54"/>
      <c r="EK120" s="54"/>
      <c r="EL120" s="54"/>
      <c r="EM120" s="54"/>
      <c r="EN120" s="54"/>
      <c r="EQ120" s="86"/>
      <c r="ER120" s="86"/>
      <c r="EX120" s="54"/>
      <c r="EZ120" s="54"/>
      <c r="FA120" s="54"/>
      <c r="FB120" s="54"/>
      <c r="FC120" s="54"/>
      <c r="FG120" s="86"/>
      <c r="FH120" s="253"/>
      <c r="FL120" s="45"/>
      <c r="FP120" s="54"/>
      <c r="FQ120" s="54"/>
      <c r="FR120" s="54"/>
      <c r="FS120" s="54"/>
      <c r="FT120" s="63"/>
      <c r="FU120" s="54"/>
      <c r="FV120" s="54"/>
      <c r="FW120" s="54"/>
      <c r="FX120" s="86"/>
      <c r="FY120" s="86"/>
      <c r="FZ120" s="102"/>
      <c r="GA120" s="86"/>
      <c r="GB120" s="86"/>
      <c r="GD120" s="63"/>
      <c r="GE120" s="63"/>
      <c r="GF120" s="63"/>
      <c r="GG120" s="63"/>
      <c r="GH120" s="45"/>
      <c r="GI120" s="54"/>
      <c r="GJ120" s="54"/>
      <c r="GL120" s="86"/>
      <c r="GN120" s="54"/>
      <c r="GO120" s="54"/>
      <c r="GP120" s="54"/>
      <c r="GQ120" s="54"/>
      <c r="GR120" s="86"/>
      <c r="GS120" s="86"/>
      <c r="GU120" s="63"/>
      <c r="GV120" s="63"/>
      <c r="GW120" s="63"/>
      <c r="GX120" s="63"/>
      <c r="GZ120" s="63"/>
      <c r="HA120" s="54"/>
      <c r="HD120" s="86"/>
      <c r="HE120" s="54"/>
      <c r="HF120" s="54"/>
      <c r="HG120" s="54"/>
      <c r="HH120" s="54"/>
      <c r="HI120" s="86"/>
      <c r="HJ120" s="86"/>
      <c r="HQ120" s="63"/>
      <c r="HR120" s="54"/>
      <c r="HU120" s="86"/>
      <c r="HV120" s="54"/>
      <c r="HW120" s="54"/>
      <c r="HX120" s="54"/>
      <c r="HY120" s="54"/>
      <c r="HZ120" s="86"/>
      <c r="IA120" s="86"/>
      <c r="IF120" s="54"/>
      <c r="IH120" s="89"/>
      <c r="IK120" s="86"/>
      <c r="IL120" s="54"/>
      <c r="IM120" s="54"/>
      <c r="IN120" s="54"/>
      <c r="IO120" s="54"/>
      <c r="JB120" s="54"/>
      <c r="JC120" s="54"/>
      <c r="JD120" s="54"/>
      <c r="JE120" s="54"/>
    </row>
    <row r="121" spans="1:265">
      <c r="A121" s="86">
        <v>91</v>
      </c>
      <c r="B121" s="117"/>
      <c r="C121" s="117"/>
      <c r="D121" s="117"/>
      <c r="E121" s="117"/>
      <c r="K121" s="117"/>
      <c r="L121" s="45"/>
      <c r="M121" s="45"/>
      <c r="N121" s="45"/>
      <c r="O121" s="45"/>
      <c r="P121" s="45"/>
      <c r="Q121" s="45"/>
      <c r="R121" s="45"/>
      <c r="S121" s="117"/>
      <c r="T121" s="117"/>
      <c r="U121" s="74"/>
      <c r="V121" s="74"/>
      <c r="W121" s="74"/>
      <c r="X121" s="74"/>
      <c r="Y121" s="74"/>
      <c r="Z121" s="74"/>
      <c r="AA121" s="74"/>
      <c r="AB121" s="74"/>
      <c r="AC121" s="117"/>
      <c r="AD121" s="117"/>
      <c r="AE121" s="117"/>
      <c r="AF121" s="117"/>
      <c r="AG121" s="117"/>
      <c r="AH121" s="117"/>
      <c r="AI121" s="117"/>
      <c r="AJ121" s="117"/>
      <c r="AK121" s="117"/>
      <c r="AL121" s="117"/>
      <c r="AM121" s="117"/>
      <c r="AN121" s="117"/>
      <c r="AO121" s="117"/>
      <c r="AP121" s="117"/>
      <c r="AQ121" s="117"/>
      <c r="AR121" s="300"/>
      <c r="AS121" s="300"/>
      <c r="AT121" s="86"/>
      <c r="AU121" s="162"/>
      <c r="AV121" s="162"/>
      <c r="AW121" s="162"/>
      <c r="AX121" s="162"/>
      <c r="AY121" s="162"/>
      <c r="BB121" s="45"/>
      <c r="BC121" s="45"/>
      <c r="BD121" s="117"/>
      <c r="BE121" s="117"/>
      <c r="BF121" s="99"/>
      <c r="BG121" s="99"/>
      <c r="BH121" s="54"/>
      <c r="BI121" s="117"/>
      <c r="BJ121" s="117"/>
      <c r="BK121" s="117"/>
      <c r="BL121" s="117"/>
      <c r="BM121" s="117"/>
      <c r="BN121" s="117"/>
      <c r="BO121" s="117"/>
      <c r="BP121" s="117"/>
      <c r="BQ121" s="117"/>
      <c r="BR121" s="117"/>
      <c r="BS121" s="117"/>
      <c r="BT121" s="117"/>
      <c r="BU121" s="117"/>
      <c r="BV121" s="117"/>
      <c r="BW121" s="117"/>
      <c r="BX121" s="102"/>
      <c r="BY121" s="102"/>
      <c r="BZ121" s="102"/>
      <c r="CD121" s="5"/>
      <c r="CE121" s="5"/>
      <c r="CF121" s="5"/>
      <c r="CG121" s="46"/>
      <c r="CH121" s="86"/>
      <c r="CI121" s="86"/>
      <c r="CJ121" s="86"/>
      <c r="CL121" s="63"/>
      <c r="CM121" s="54"/>
      <c r="CN121" s="152"/>
      <c r="CO121" s="54"/>
      <c r="CP121" s="54"/>
      <c r="CQ121" s="86"/>
      <c r="CR121" s="63"/>
      <c r="CS121" s="63"/>
      <c r="CT121" s="63"/>
      <c r="CU121" s="63"/>
      <c r="CV121" s="86"/>
      <c r="CW121" s="86"/>
      <c r="CX121" s="86"/>
      <c r="DA121" s="54"/>
      <c r="DB121" s="54"/>
      <c r="DC121" s="54"/>
      <c r="DD121" s="54"/>
      <c r="DE121" s="54"/>
      <c r="DF121" s="54"/>
      <c r="DG121" s="54"/>
      <c r="DH121" s="63"/>
      <c r="DI121" s="63"/>
      <c r="DJ121" s="63"/>
      <c r="DK121" s="63"/>
      <c r="DL121" s="63"/>
      <c r="DN121" s="86"/>
      <c r="DO121" s="86"/>
      <c r="DP121" s="86"/>
      <c r="DR121" s="63"/>
      <c r="DS121" s="54"/>
      <c r="DT121" s="54"/>
      <c r="DU121" s="54"/>
      <c r="DV121" s="54"/>
      <c r="DW121" s="54"/>
      <c r="DX121" s="54"/>
      <c r="DY121" s="63"/>
      <c r="DZ121" s="63"/>
      <c r="EA121" s="63"/>
      <c r="EB121" s="63"/>
      <c r="EC121" s="63"/>
      <c r="EE121" s="86"/>
      <c r="EF121" s="86"/>
      <c r="EG121" s="86"/>
      <c r="EI121" s="63"/>
      <c r="EJ121" s="54"/>
      <c r="EK121" s="54"/>
      <c r="EL121" s="54"/>
      <c r="EM121" s="54"/>
      <c r="EN121" s="54"/>
      <c r="EQ121" s="86"/>
      <c r="ER121" s="86"/>
      <c r="EX121" s="54"/>
      <c r="EZ121" s="54"/>
      <c r="FA121" s="54"/>
      <c r="FB121" s="54"/>
      <c r="FC121" s="54"/>
      <c r="FG121" s="86"/>
      <c r="FH121" s="253"/>
      <c r="FL121" s="45"/>
      <c r="FP121" s="54"/>
      <c r="FQ121" s="54"/>
      <c r="FR121" s="54"/>
      <c r="FS121" s="54"/>
      <c r="FT121" s="63"/>
      <c r="FU121" s="54"/>
      <c r="FV121" s="54"/>
      <c r="FW121" s="54"/>
      <c r="FX121" s="86"/>
      <c r="FY121" s="86"/>
      <c r="FZ121" s="102"/>
      <c r="GA121" s="86"/>
      <c r="GB121" s="86"/>
      <c r="GD121" s="63"/>
      <c r="GE121" s="63"/>
      <c r="GF121" s="63"/>
      <c r="GG121" s="63"/>
      <c r="GH121" s="45"/>
      <c r="GI121" s="54"/>
      <c r="GJ121" s="54"/>
      <c r="GL121" s="86"/>
      <c r="GN121" s="54"/>
      <c r="GO121" s="54"/>
      <c r="GP121" s="54"/>
      <c r="GQ121" s="54"/>
      <c r="GR121" s="86"/>
      <c r="GS121" s="86"/>
      <c r="GU121" s="63"/>
      <c r="GV121" s="63"/>
      <c r="GW121" s="63"/>
      <c r="GX121" s="63"/>
      <c r="GZ121" s="63"/>
      <c r="HA121" s="54"/>
      <c r="HD121" s="86"/>
      <c r="HE121" s="54"/>
      <c r="HF121" s="54"/>
      <c r="HG121" s="54"/>
      <c r="HH121" s="54"/>
      <c r="HI121" s="86"/>
      <c r="HJ121" s="86"/>
      <c r="HQ121" s="63"/>
      <c r="HR121" s="54"/>
      <c r="HU121" s="86"/>
      <c r="HV121" s="54"/>
      <c r="HW121" s="54"/>
      <c r="HX121" s="54"/>
      <c r="HY121" s="54"/>
      <c r="HZ121" s="86"/>
      <c r="IA121" s="86"/>
      <c r="IF121" s="54"/>
      <c r="IH121" s="89"/>
      <c r="IK121" s="86"/>
      <c r="IL121" s="54"/>
      <c r="IM121" s="54"/>
      <c r="IN121" s="54"/>
      <c r="IO121" s="54"/>
      <c r="JB121" s="54"/>
      <c r="JC121" s="54"/>
      <c r="JD121" s="54"/>
      <c r="JE121" s="54"/>
    </row>
    <row r="122" spans="1:265">
      <c r="A122" s="86">
        <v>92</v>
      </c>
      <c r="B122" s="117"/>
      <c r="C122" s="117"/>
      <c r="D122" s="117"/>
      <c r="E122" s="117"/>
      <c r="K122" s="117"/>
      <c r="L122" s="45"/>
      <c r="M122" s="45"/>
      <c r="N122" s="45"/>
      <c r="O122" s="45"/>
      <c r="P122" s="45"/>
      <c r="Q122" s="45"/>
      <c r="R122" s="45"/>
      <c r="S122" s="117"/>
      <c r="T122" s="117"/>
      <c r="U122" s="74"/>
      <c r="V122" s="74"/>
      <c r="W122" s="74"/>
      <c r="X122" s="74"/>
      <c r="Y122" s="74"/>
      <c r="Z122" s="74"/>
      <c r="AA122" s="74"/>
      <c r="AB122" s="74"/>
      <c r="AC122" s="117"/>
      <c r="AD122" s="117"/>
      <c r="AE122" s="117"/>
      <c r="AF122" s="117"/>
      <c r="AG122" s="117"/>
      <c r="AH122" s="117"/>
      <c r="AI122" s="117"/>
      <c r="AJ122" s="117"/>
      <c r="AK122" s="117"/>
      <c r="AL122" s="117"/>
      <c r="AM122" s="117"/>
      <c r="AN122" s="117"/>
      <c r="AO122" s="117"/>
      <c r="AP122" s="117"/>
      <c r="AQ122" s="117"/>
      <c r="AR122" s="300"/>
      <c r="AS122" s="300"/>
      <c r="AT122" s="86"/>
      <c r="AU122" s="162"/>
      <c r="AV122" s="162"/>
      <c r="AW122" s="162"/>
      <c r="AX122" s="162"/>
      <c r="AY122" s="162"/>
      <c r="BB122" s="45"/>
      <c r="BC122" s="45"/>
      <c r="BD122" s="117"/>
      <c r="BE122" s="117"/>
      <c r="BF122" s="99"/>
      <c r="BG122" s="99"/>
      <c r="BH122" s="54"/>
      <c r="BI122" s="117"/>
      <c r="BJ122" s="117"/>
      <c r="BK122" s="117"/>
      <c r="BL122" s="117"/>
      <c r="BM122" s="117"/>
      <c r="BN122" s="117"/>
      <c r="BO122" s="117"/>
      <c r="BP122" s="117"/>
      <c r="BQ122" s="117"/>
      <c r="BR122" s="117"/>
      <c r="BS122" s="117"/>
      <c r="BT122" s="117"/>
      <c r="BU122" s="117"/>
      <c r="BV122" s="117"/>
      <c r="BW122" s="117"/>
      <c r="BX122" s="102"/>
      <c r="BY122" s="102"/>
      <c r="BZ122" s="102"/>
      <c r="CD122" s="5"/>
      <c r="CE122" s="5"/>
      <c r="CF122" s="5"/>
      <c r="CG122" s="46"/>
      <c r="CH122" s="86"/>
      <c r="CI122" s="86"/>
      <c r="CJ122" s="86"/>
      <c r="CL122" s="63"/>
      <c r="CM122" s="54"/>
      <c r="CN122" s="152"/>
      <c r="CO122" s="54"/>
      <c r="CP122" s="54"/>
      <c r="CQ122" s="86"/>
      <c r="CR122" s="63"/>
      <c r="CS122" s="63"/>
      <c r="CT122" s="63"/>
      <c r="CU122" s="63"/>
      <c r="CV122" s="86"/>
      <c r="CW122" s="86"/>
      <c r="CX122" s="86"/>
      <c r="DA122" s="54"/>
      <c r="DB122" s="54"/>
      <c r="DC122" s="54"/>
      <c r="DD122" s="54"/>
      <c r="DE122" s="54"/>
      <c r="DF122" s="54"/>
      <c r="DG122" s="54"/>
      <c r="DH122" s="63"/>
      <c r="DI122" s="63"/>
      <c r="DJ122" s="63"/>
      <c r="DK122" s="63"/>
      <c r="DL122" s="63"/>
      <c r="DN122" s="86"/>
      <c r="DO122" s="86"/>
      <c r="DP122" s="86"/>
      <c r="DR122" s="63"/>
      <c r="DS122" s="54"/>
      <c r="DT122" s="54"/>
      <c r="DU122" s="54"/>
      <c r="DV122" s="54"/>
      <c r="DW122" s="54"/>
      <c r="DX122" s="54"/>
      <c r="DY122" s="63"/>
      <c r="DZ122" s="63"/>
      <c r="EA122" s="63"/>
      <c r="EB122" s="63"/>
      <c r="EC122" s="63"/>
      <c r="EE122" s="86"/>
      <c r="EF122" s="86"/>
      <c r="EG122" s="86"/>
      <c r="EI122" s="63"/>
      <c r="EJ122" s="54"/>
      <c r="EK122" s="54"/>
      <c r="EL122" s="54"/>
      <c r="EM122" s="54"/>
      <c r="EN122" s="54"/>
      <c r="EQ122" s="86"/>
      <c r="ER122" s="86"/>
      <c r="EX122" s="54"/>
      <c r="EZ122" s="54"/>
      <c r="FA122" s="54"/>
      <c r="FB122" s="54"/>
      <c r="FC122" s="54"/>
      <c r="FG122" s="86"/>
      <c r="FH122" s="253"/>
      <c r="FL122" s="45"/>
      <c r="FP122" s="54"/>
      <c r="FQ122" s="54"/>
      <c r="FR122" s="54"/>
      <c r="FS122" s="54"/>
      <c r="FT122" s="63"/>
      <c r="FU122" s="54"/>
      <c r="FV122" s="54"/>
      <c r="FW122" s="54"/>
      <c r="FX122" s="86"/>
      <c r="FY122" s="86"/>
      <c r="FZ122" s="102"/>
      <c r="GA122" s="86"/>
      <c r="GB122" s="86"/>
      <c r="GD122" s="63"/>
      <c r="GE122" s="63"/>
      <c r="GF122" s="63"/>
      <c r="GG122" s="63"/>
      <c r="GH122" s="45"/>
      <c r="GI122" s="54"/>
      <c r="GJ122" s="54"/>
      <c r="GL122" s="86"/>
      <c r="GN122" s="54"/>
      <c r="GO122" s="54"/>
      <c r="GP122" s="54"/>
      <c r="GQ122" s="54"/>
      <c r="GR122" s="86"/>
      <c r="GS122" s="86"/>
      <c r="GU122" s="63"/>
      <c r="GV122" s="63"/>
      <c r="GW122" s="63"/>
      <c r="GX122" s="63"/>
      <c r="GZ122" s="63"/>
      <c r="HA122" s="54"/>
      <c r="HD122" s="86"/>
      <c r="HE122" s="54"/>
      <c r="HF122" s="54"/>
      <c r="HG122" s="54"/>
      <c r="HH122" s="54"/>
      <c r="HI122" s="86"/>
      <c r="HJ122" s="86"/>
      <c r="HQ122" s="63"/>
      <c r="HR122" s="54"/>
      <c r="HU122" s="86"/>
      <c r="HV122" s="54"/>
      <c r="HW122" s="54"/>
      <c r="HX122" s="54"/>
      <c r="HY122" s="54"/>
      <c r="HZ122" s="86"/>
      <c r="IA122" s="86"/>
      <c r="IF122" s="54"/>
      <c r="IH122" s="89"/>
      <c r="IK122" s="86"/>
      <c r="IL122" s="54"/>
      <c r="IM122" s="54"/>
      <c r="IN122" s="54"/>
      <c r="IO122" s="54"/>
      <c r="JB122" s="54"/>
      <c r="JC122" s="54"/>
      <c r="JD122" s="54"/>
      <c r="JE122" s="54"/>
    </row>
    <row r="123" spans="1:265">
      <c r="A123" s="86">
        <v>93</v>
      </c>
      <c r="B123" s="117"/>
      <c r="C123" s="117"/>
      <c r="D123" s="117"/>
      <c r="E123" s="117"/>
      <c r="K123" s="117"/>
      <c r="L123" s="45"/>
      <c r="M123" s="45"/>
      <c r="N123" s="45"/>
      <c r="O123" s="45"/>
      <c r="P123" s="45"/>
      <c r="Q123" s="45"/>
      <c r="R123" s="45"/>
      <c r="S123" s="117"/>
      <c r="T123" s="117"/>
      <c r="U123" s="74"/>
      <c r="V123" s="74"/>
      <c r="W123" s="74"/>
      <c r="X123" s="74"/>
      <c r="Y123" s="74"/>
      <c r="Z123" s="74"/>
      <c r="AA123" s="74"/>
      <c r="AB123" s="74"/>
      <c r="AC123" s="117"/>
      <c r="AD123" s="117"/>
      <c r="AE123" s="117"/>
      <c r="AF123" s="117"/>
      <c r="AG123" s="117"/>
      <c r="AH123" s="117"/>
      <c r="AI123" s="117"/>
      <c r="AJ123" s="117"/>
      <c r="AK123" s="117"/>
      <c r="AL123" s="117"/>
      <c r="AM123" s="117"/>
      <c r="AN123" s="117"/>
      <c r="AO123" s="117"/>
      <c r="AP123" s="117"/>
      <c r="AQ123" s="117"/>
      <c r="AR123" s="300"/>
      <c r="AS123" s="300"/>
      <c r="AT123" s="86"/>
      <c r="AU123" s="162"/>
      <c r="AV123" s="162"/>
      <c r="AW123" s="162"/>
      <c r="AX123" s="162"/>
      <c r="AY123" s="162"/>
      <c r="BB123" s="45"/>
      <c r="BC123" s="45"/>
      <c r="BD123" s="117"/>
      <c r="BE123" s="117"/>
      <c r="BF123" s="99"/>
      <c r="BG123" s="99"/>
      <c r="BH123" s="54"/>
      <c r="BI123" s="117"/>
      <c r="BJ123" s="117"/>
      <c r="BK123" s="117"/>
      <c r="BL123" s="117"/>
      <c r="BM123" s="117"/>
      <c r="BN123" s="117"/>
      <c r="BO123" s="117"/>
      <c r="BP123" s="117"/>
      <c r="BQ123" s="117"/>
      <c r="BR123" s="117"/>
      <c r="BS123" s="117"/>
      <c r="BT123" s="117"/>
      <c r="BU123" s="117"/>
      <c r="BV123" s="117"/>
      <c r="BW123" s="117"/>
      <c r="BX123" s="102"/>
      <c r="BY123" s="102"/>
      <c r="BZ123" s="102"/>
      <c r="CD123" s="5"/>
      <c r="CE123" s="5"/>
      <c r="CF123" s="5"/>
      <c r="CG123" s="46"/>
      <c r="CH123" s="86"/>
      <c r="CI123" s="86"/>
      <c r="CJ123" s="86"/>
      <c r="CL123" s="63"/>
      <c r="CM123" s="54"/>
      <c r="CN123" s="152"/>
      <c r="CO123" s="54"/>
      <c r="CP123" s="54"/>
      <c r="CQ123" s="86"/>
      <c r="CR123" s="63"/>
      <c r="CS123" s="63"/>
      <c r="CT123" s="63"/>
      <c r="CU123" s="63"/>
      <c r="CV123" s="86"/>
      <c r="CW123" s="86"/>
      <c r="CX123" s="86"/>
      <c r="DA123" s="54"/>
      <c r="DB123" s="54"/>
      <c r="DC123" s="54"/>
      <c r="DD123" s="54"/>
      <c r="DE123" s="54"/>
      <c r="DF123" s="54"/>
      <c r="DG123" s="54"/>
      <c r="DH123" s="63"/>
      <c r="DI123" s="63"/>
      <c r="DJ123" s="63"/>
      <c r="DK123" s="63"/>
      <c r="DL123" s="63"/>
      <c r="DN123" s="86"/>
      <c r="DO123" s="86"/>
      <c r="DP123" s="86"/>
      <c r="DR123" s="63"/>
      <c r="DS123" s="54"/>
      <c r="DT123" s="54"/>
      <c r="DU123" s="54"/>
      <c r="DV123" s="54"/>
      <c r="DW123" s="54"/>
      <c r="DX123" s="54"/>
      <c r="DY123" s="63"/>
      <c r="DZ123" s="63"/>
      <c r="EA123" s="63"/>
      <c r="EB123" s="63"/>
      <c r="EC123" s="63"/>
      <c r="EE123" s="86"/>
      <c r="EF123" s="86"/>
      <c r="EG123" s="86"/>
      <c r="EI123" s="63"/>
      <c r="EJ123" s="54"/>
      <c r="EK123" s="54"/>
      <c r="EL123" s="54"/>
      <c r="EM123" s="54"/>
      <c r="EN123" s="54"/>
      <c r="EQ123" s="86"/>
      <c r="ER123" s="86"/>
      <c r="EX123" s="54"/>
      <c r="EZ123" s="54"/>
      <c r="FA123" s="54"/>
      <c r="FB123" s="54"/>
      <c r="FC123" s="54"/>
      <c r="FG123" s="86"/>
      <c r="FH123" s="253"/>
      <c r="FL123" s="45"/>
      <c r="FP123" s="54"/>
      <c r="FQ123" s="54"/>
      <c r="FR123" s="54"/>
      <c r="FS123" s="54"/>
      <c r="FT123" s="63"/>
      <c r="FU123" s="54"/>
      <c r="FV123" s="54"/>
      <c r="FW123" s="54"/>
      <c r="FX123" s="86"/>
      <c r="FY123" s="86"/>
      <c r="FZ123" s="102"/>
      <c r="GA123" s="86"/>
      <c r="GB123" s="86"/>
      <c r="GD123" s="63"/>
      <c r="GE123" s="63"/>
      <c r="GF123" s="63"/>
      <c r="GG123" s="63"/>
      <c r="GH123" s="45"/>
      <c r="GI123" s="54"/>
      <c r="GJ123" s="54"/>
      <c r="GL123" s="86"/>
      <c r="GN123" s="54"/>
      <c r="GO123" s="54"/>
      <c r="GP123" s="54"/>
      <c r="GQ123" s="54"/>
      <c r="GR123" s="86"/>
      <c r="GS123" s="86"/>
      <c r="GU123" s="63"/>
      <c r="GV123" s="63"/>
      <c r="GW123" s="63"/>
      <c r="GX123" s="63"/>
      <c r="GZ123" s="63"/>
      <c r="HA123" s="54"/>
      <c r="HD123" s="86"/>
      <c r="HE123" s="54"/>
      <c r="HF123" s="54"/>
      <c r="HG123" s="54"/>
      <c r="HH123" s="54"/>
      <c r="HI123" s="86"/>
      <c r="HJ123" s="86"/>
      <c r="HQ123" s="63"/>
      <c r="HR123" s="54"/>
      <c r="HU123" s="86"/>
      <c r="HV123" s="54"/>
      <c r="HW123" s="54"/>
      <c r="HX123" s="54"/>
      <c r="HY123" s="54"/>
      <c r="HZ123" s="86"/>
      <c r="IA123" s="86"/>
      <c r="IF123" s="54"/>
      <c r="IH123" s="89"/>
      <c r="IK123" s="86"/>
      <c r="IL123" s="54"/>
      <c r="IM123" s="54"/>
      <c r="IN123" s="54"/>
      <c r="IO123" s="54"/>
      <c r="JB123" s="54"/>
      <c r="JC123" s="54"/>
      <c r="JD123" s="54"/>
      <c r="JE123" s="54"/>
    </row>
    <row r="124" spans="1:265">
      <c r="A124" s="86">
        <v>94</v>
      </c>
      <c r="B124" s="117"/>
      <c r="C124" s="117"/>
      <c r="D124" s="117"/>
      <c r="E124" s="117"/>
      <c r="K124" s="117"/>
      <c r="L124" s="45"/>
      <c r="M124" s="45"/>
      <c r="N124" s="45"/>
      <c r="O124" s="45"/>
      <c r="P124" s="45"/>
      <c r="Q124" s="45"/>
      <c r="R124" s="45"/>
      <c r="S124" s="117"/>
      <c r="T124" s="117"/>
      <c r="U124" s="74"/>
      <c r="V124" s="74"/>
      <c r="W124" s="74"/>
      <c r="X124" s="74"/>
      <c r="Y124" s="74"/>
      <c r="Z124" s="74"/>
      <c r="AA124" s="74"/>
      <c r="AB124" s="74"/>
      <c r="AC124" s="117"/>
      <c r="AD124" s="117"/>
      <c r="AE124" s="117"/>
      <c r="AF124" s="117"/>
      <c r="AG124" s="117"/>
      <c r="AH124" s="117"/>
      <c r="AI124" s="117"/>
      <c r="AJ124" s="117"/>
      <c r="AK124" s="117"/>
      <c r="AL124" s="117"/>
      <c r="AM124" s="117"/>
      <c r="AN124" s="117"/>
      <c r="AO124" s="117"/>
      <c r="AP124" s="117"/>
      <c r="AQ124" s="117"/>
      <c r="AR124" s="300"/>
      <c r="AS124" s="300"/>
      <c r="AT124" s="86"/>
      <c r="AU124" s="162"/>
      <c r="AV124" s="162"/>
      <c r="AW124" s="162"/>
      <c r="AX124" s="162"/>
      <c r="AY124" s="162"/>
      <c r="BB124" s="45"/>
      <c r="BC124" s="45"/>
      <c r="BD124" s="117"/>
      <c r="BE124" s="117"/>
      <c r="BF124" s="99"/>
      <c r="BG124" s="99"/>
      <c r="BH124" s="54"/>
      <c r="BI124" s="117"/>
      <c r="BJ124" s="117"/>
      <c r="BK124" s="117"/>
      <c r="BL124" s="117"/>
      <c r="BM124" s="117"/>
      <c r="BN124" s="117"/>
      <c r="BO124" s="117"/>
      <c r="BP124" s="117"/>
      <c r="BQ124" s="117"/>
      <c r="BR124" s="117"/>
      <c r="BS124" s="117"/>
      <c r="BT124" s="117"/>
      <c r="BU124" s="117"/>
      <c r="BV124" s="117"/>
      <c r="BW124" s="117"/>
      <c r="BX124" s="102"/>
      <c r="BY124" s="102"/>
      <c r="BZ124" s="102"/>
      <c r="CD124" s="5"/>
      <c r="CE124" s="5"/>
      <c r="CF124" s="5"/>
      <c r="CG124" s="46"/>
      <c r="CH124" s="86"/>
      <c r="CI124" s="86"/>
      <c r="CJ124" s="86"/>
      <c r="CL124" s="63"/>
      <c r="CM124" s="54"/>
      <c r="CN124" s="152"/>
      <c r="CO124" s="54"/>
      <c r="CP124" s="54"/>
      <c r="CQ124" s="86"/>
      <c r="CR124" s="63"/>
      <c r="CS124" s="63"/>
      <c r="CT124" s="63"/>
      <c r="CU124" s="63"/>
      <c r="CV124" s="86"/>
      <c r="CW124" s="86"/>
      <c r="CX124" s="86"/>
      <c r="DA124" s="54"/>
      <c r="DB124" s="54"/>
      <c r="DC124" s="54"/>
      <c r="DD124" s="54"/>
      <c r="DE124" s="54"/>
      <c r="DF124" s="54"/>
      <c r="DG124" s="54"/>
      <c r="DH124" s="63"/>
      <c r="DI124" s="63"/>
      <c r="DJ124" s="63"/>
      <c r="DK124" s="63"/>
      <c r="DL124" s="63"/>
      <c r="DN124" s="86"/>
      <c r="DO124" s="86"/>
      <c r="DP124" s="86"/>
      <c r="DR124" s="63"/>
      <c r="DS124" s="54"/>
      <c r="DT124" s="54"/>
      <c r="DU124" s="54"/>
      <c r="DV124" s="54"/>
      <c r="DW124" s="54"/>
      <c r="DX124" s="54"/>
      <c r="DY124" s="63"/>
      <c r="DZ124" s="63"/>
      <c r="EA124" s="63"/>
      <c r="EB124" s="63"/>
      <c r="EC124" s="63"/>
      <c r="EE124" s="86"/>
      <c r="EF124" s="86"/>
      <c r="EG124" s="86"/>
      <c r="EI124" s="63"/>
      <c r="EJ124" s="54"/>
      <c r="EK124" s="54"/>
      <c r="EL124" s="54"/>
      <c r="EM124" s="54"/>
      <c r="EN124" s="54"/>
      <c r="EQ124" s="86"/>
      <c r="ER124" s="86"/>
      <c r="EX124" s="54"/>
      <c r="EZ124" s="54"/>
      <c r="FA124" s="54"/>
      <c r="FB124" s="54"/>
      <c r="FC124" s="54"/>
      <c r="FG124" s="86"/>
      <c r="FH124" s="253"/>
      <c r="FL124" s="45"/>
      <c r="FP124" s="54"/>
      <c r="FQ124" s="54"/>
      <c r="FR124" s="54"/>
      <c r="FS124" s="54"/>
      <c r="FT124" s="63"/>
      <c r="FU124" s="54"/>
      <c r="FV124" s="54"/>
      <c r="FW124" s="54"/>
      <c r="FX124" s="86"/>
      <c r="FY124" s="86"/>
      <c r="FZ124" s="102"/>
      <c r="GA124" s="86"/>
      <c r="GB124" s="86"/>
      <c r="GD124" s="63"/>
      <c r="GE124" s="63"/>
      <c r="GF124" s="63"/>
      <c r="GG124" s="63"/>
      <c r="GH124" s="45"/>
      <c r="GI124" s="54"/>
      <c r="GJ124" s="54"/>
      <c r="GL124" s="86"/>
      <c r="GN124" s="54"/>
      <c r="GO124" s="54"/>
      <c r="GP124" s="54"/>
      <c r="GQ124" s="54"/>
      <c r="GR124" s="86"/>
      <c r="GS124" s="86"/>
      <c r="GU124" s="63"/>
      <c r="GV124" s="63"/>
      <c r="GW124" s="63"/>
      <c r="GX124" s="63"/>
      <c r="GZ124" s="63"/>
      <c r="HA124" s="54"/>
      <c r="HD124" s="86"/>
      <c r="HE124" s="54"/>
      <c r="HF124" s="54"/>
      <c r="HG124" s="54"/>
      <c r="HH124" s="54"/>
      <c r="HI124" s="86"/>
      <c r="HJ124" s="86"/>
      <c r="HQ124" s="63"/>
      <c r="HR124" s="54"/>
      <c r="HU124" s="86"/>
      <c r="HV124" s="54"/>
      <c r="HW124" s="54"/>
      <c r="HX124" s="54"/>
      <c r="HY124" s="54"/>
      <c r="HZ124" s="86"/>
      <c r="IA124" s="86"/>
      <c r="IF124" s="54"/>
      <c r="IH124" s="89"/>
      <c r="IK124" s="86"/>
      <c r="IL124" s="54"/>
      <c r="IM124" s="54"/>
      <c r="IN124" s="54"/>
      <c r="IO124" s="54"/>
      <c r="JB124" s="54"/>
      <c r="JC124" s="54"/>
      <c r="JD124" s="54"/>
      <c r="JE124" s="54"/>
    </row>
    <row r="125" spans="1:265">
      <c r="A125" s="86">
        <v>95</v>
      </c>
      <c r="B125" s="117"/>
      <c r="C125" s="117"/>
      <c r="D125" s="117"/>
      <c r="E125" s="117"/>
      <c r="K125" s="117"/>
      <c r="L125" s="45"/>
      <c r="M125" s="45"/>
      <c r="N125" s="45"/>
      <c r="O125" s="45"/>
      <c r="P125" s="45"/>
      <c r="Q125" s="45"/>
      <c r="R125" s="45"/>
      <c r="S125" s="117"/>
      <c r="T125" s="117"/>
      <c r="U125" s="74"/>
      <c r="V125" s="74"/>
      <c r="W125" s="74"/>
      <c r="X125" s="74"/>
      <c r="Y125" s="74"/>
      <c r="Z125" s="74"/>
      <c r="AA125" s="74"/>
      <c r="AB125" s="74"/>
      <c r="AC125" s="117"/>
      <c r="AD125" s="117"/>
      <c r="AE125" s="117"/>
      <c r="AF125" s="117"/>
      <c r="AG125" s="117"/>
      <c r="AH125" s="117"/>
      <c r="AI125" s="117"/>
      <c r="AJ125" s="117"/>
      <c r="AK125" s="117"/>
      <c r="AL125" s="117"/>
      <c r="AM125" s="117"/>
      <c r="AN125" s="117"/>
      <c r="AO125" s="117"/>
      <c r="AP125" s="117"/>
      <c r="AQ125" s="117"/>
      <c r="AR125" s="300"/>
      <c r="AS125" s="300"/>
      <c r="AT125" s="86"/>
      <c r="AU125" s="162"/>
      <c r="AV125" s="162"/>
      <c r="AW125" s="162"/>
      <c r="AX125" s="162"/>
      <c r="AY125" s="162"/>
      <c r="BB125" s="45"/>
      <c r="BC125" s="45"/>
      <c r="BD125" s="117"/>
      <c r="BE125" s="117"/>
      <c r="BF125" s="99"/>
      <c r="BG125" s="99"/>
      <c r="BH125" s="54"/>
      <c r="BI125" s="117"/>
      <c r="BJ125" s="117"/>
      <c r="BK125" s="117"/>
      <c r="BL125" s="117"/>
      <c r="BM125" s="117"/>
      <c r="BN125" s="117"/>
      <c r="BO125" s="117"/>
      <c r="BP125" s="117"/>
      <c r="BQ125" s="117"/>
      <c r="BR125" s="117"/>
      <c r="BS125" s="117"/>
      <c r="BT125" s="117"/>
      <c r="BU125" s="117"/>
      <c r="BV125" s="117"/>
      <c r="BW125" s="117"/>
      <c r="BX125" s="102"/>
      <c r="BY125" s="102"/>
      <c r="BZ125" s="102"/>
      <c r="CD125" s="5"/>
      <c r="CE125" s="5"/>
      <c r="CF125" s="5"/>
      <c r="CG125" s="46"/>
      <c r="CH125" s="86"/>
      <c r="CI125" s="86"/>
      <c r="CJ125" s="86"/>
      <c r="CL125" s="63"/>
      <c r="CM125" s="54"/>
      <c r="CN125" s="152"/>
      <c r="CO125" s="54"/>
      <c r="CP125" s="54"/>
      <c r="CQ125" s="86"/>
      <c r="CR125" s="63"/>
      <c r="CS125" s="63"/>
      <c r="CT125" s="63"/>
      <c r="CU125" s="63"/>
      <c r="CV125" s="86"/>
      <c r="CW125" s="86"/>
      <c r="CX125" s="86"/>
      <c r="DA125" s="54"/>
      <c r="DB125" s="54"/>
      <c r="DC125" s="54"/>
      <c r="DD125" s="54"/>
      <c r="DE125" s="54"/>
      <c r="DF125" s="54"/>
      <c r="DG125" s="54"/>
      <c r="DH125" s="63"/>
      <c r="DI125" s="63"/>
      <c r="DJ125" s="63"/>
      <c r="DK125" s="63"/>
      <c r="DL125" s="63"/>
      <c r="DN125" s="86"/>
      <c r="DO125" s="86"/>
      <c r="DP125" s="86"/>
      <c r="DR125" s="63"/>
      <c r="DS125" s="54"/>
      <c r="DT125" s="54"/>
      <c r="DU125" s="54"/>
      <c r="DV125" s="54"/>
      <c r="DW125" s="54"/>
      <c r="DX125" s="54"/>
      <c r="DY125" s="63"/>
      <c r="DZ125" s="63"/>
      <c r="EA125" s="63"/>
      <c r="EB125" s="63"/>
      <c r="EC125" s="63"/>
      <c r="EE125" s="86"/>
      <c r="EF125" s="86"/>
      <c r="EG125" s="86"/>
      <c r="EI125" s="63"/>
      <c r="EJ125" s="54"/>
      <c r="EK125" s="54"/>
      <c r="EL125" s="54"/>
      <c r="EM125" s="54"/>
      <c r="EN125" s="54"/>
      <c r="EQ125" s="86"/>
      <c r="ER125" s="86"/>
      <c r="EX125" s="54"/>
      <c r="EZ125" s="54"/>
      <c r="FA125" s="54"/>
      <c r="FB125" s="54"/>
      <c r="FC125" s="54"/>
      <c r="FG125" s="86"/>
      <c r="FH125" s="253"/>
      <c r="FL125" s="45"/>
      <c r="FP125" s="54"/>
      <c r="FQ125" s="54"/>
      <c r="FR125" s="54"/>
      <c r="FS125" s="54"/>
      <c r="FT125" s="63"/>
      <c r="FU125" s="54"/>
      <c r="FV125" s="54"/>
      <c r="FW125" s="54"/>
      <c r="FX125" s="86"/>
      <c r="FY125" s="86"/>
      <c r="FZ125" s="102"/>
      <c r="GA125" s="86"/>
      <c r="GB125" s="86"/>
      <c r="GD125" s="63"/>
      <c r="GE125" s="63"/>
      <c r="GF125" s="63"/>
      <c r="GG125" s="63"/>
      <c r="GH125" s="45"/>
      <c r="GI125" s="54"/>
      <c r="GJ125" s="54"/>
      <c r="GL125" s="86"/>
      <c r="GN125" s="54"/>
      <c r="GO125" s="54"/>
      <c r="GP125" s="54"/>
      <c r="GQ125" s="54"/>
      <c r="GR125" s="86"/>
      <c r="GS125" s="86"/>
      <c r="GU125" s="63"/>
      <c r="GV125" s="63"/>
      <c r="GW125" s="63"/>
      <c r="GX125" s="63"/>
      <c r="GZ125" s="63"/>
      <c r="HA125" s="54"/>
      <c r="HD125" s="86"/>
      <c r="HE125" s="54"/>
      <c r="HF125" s="54"/>
      <c r="HG125" s="54"/>
      <c r="HH125" s="54"/>
      <c r="HI125" s="86"/>
      <c r="HJ125" s="86"/>
      <c r="HQ125" s="63"/>
      <c r="HR125" s="54"/>
      <c r="HU125" s="86"/>
      <c r="HV125" s="54"/>
      <c r="HW125" s="54"/>
      <c r="HX125" s="54"/>
      <c r="HY125" s="54"/>
      <c r="HZ125" s="86"/>
      <c r="IA125" s="86"/>
      <c r="IF125" s="54"/>
      <c r="IH125" s="89"/>
      <c r="IK125" s="86"/>
      <c r="IL125" s="54"/>
      <c r="IM125" s="54"/>
      <c r="IN125" s="54"/>
      <c r="IO125" s="54"/>
      <c r="JB125" s="54"/>
      <c r="JC125" s="54"/>
      <c r="JD125" s="54"/>
      <c r="JE125" s="54"/>
    </row>
    <row r="126" spans="1:265">
      <c r="A126" s="86">
        <v>96</v>
      </c>
      <c r="B126" s="117"/>
      <c r="C126" s="117"/>
      <c r="D126" s="117"/>
      <c r="E126" s="117"/>
      <c r="K126" s="117"/>
      <c r="L126" s="45"/>
      <c r="M126" s="45"/>
      <c r="N126" s="45"/>
      <c r="O126" s="45"/>
      <c r="P126" s="45"/>
      <c r="Q126" s="45"/>
      <c r="R126" s="45"/>
      <c r="S126" s="117"/>
      <c r="T126" s="117"/>
      <c r="U126" s="74"/>
      <c r="V126" s="74"/>
      <c r="W126" s="74"/>
      <c r="X126" s="74"/>
      <c r="Y126" s="74"/>
      <c r="Z126" s="74"/>
      <c r="AA126" s="74"/>
      <c r="AB126" s="74"/>
      <c r="AC126" s="117"/>
      <c r="AD126" s="117"/>
      <c r="AE126" s="117"/>
      <c r="AF126" s="117"/>
      <c r="AG126" s="117"/>
      <c r="AH126" s="117"/>
      <c r="AI126" s="117"/>
      <c r="AJ126" s="117"/>
      <c r="AK126" s="117"/>
      <c r="AL126" s="117"/>
      <c r="AM126" s="117"/>
      <c r="AN126" s="117"/>
      <c r="AO126" s="117"/>
      <c r="AP126" s="117"/>
      <c r="AQ126" s="117"/>
      <c r="AR126" s="300"/>
      <c r="AS126" s="300"/>
      <c r="AT126" s="86"/>
      <c r="AU126" s="162"/>
      <c r="AV126" s="162"/>
      <c r="AW126" s="162"/>
      <c r="AX126" s="162"/>
      <c r="AY126" s="162"/>
      <c r="BB126" s="45"/>
      <c r="BC126" s="45"/>
      <c r="BD126" s="117"/>
      <c r="BE126" s="117"/>
      <c r="BF126" s="99"/>
      <c r="BG126" s="99"/>
      <c r="BH126" s="74"/>
      <c r="BI126" s="117"/>
      <c r="BJ126" s="117"/>
      <c r="BK126" s="117"/>
      <c r="BL126" s="117"/>
      <c r="BM126" s="117"/>
      <c r="BN126" s="117"/>
      <c r="BO126" s="117"/>
      <c r="BP126" s="117"/>
      <c r="BQ126" s="117"/>
      <c r="BR126" s="117"/>
      <c r="BS126" s="117"/>
      <c r="BT126" s="117"/>
      <c r="BU126" s="117"/>
      <c r="BV126" s="117"/>
      <c r="BW126" s="117"/>
      <c r="BX126" s="102"/>
      <c r="BY126" s="102"/>
      <c r="BZ126" s="102"/>
      <c r="CD126" s="102"/>
      <c r="CE126" s="102"/>
      <c r="CG126" s="86"/>
      <c r="CH126" s="86"/>
      <c r="CI126" s="86"/>
      <c r="CJ126" s="86"/>
      <c r="CL126" s="63"/>
      <c r="CM126" s="54"/>
      <c r="CN126" s="152"/>
      <c r="CO126" s="54"/>
      <c r="CP126" s="54"/>
      <c r="CQ126" s="86"/>
      <c r="CR126" s="63"/>
      <c r="CS126" s="63"/>
      <c r="CT126" s="63"/>
      <c r="CU126" s="63"/>
      <c r="CV126" s="86"/>
      <c r="CW126" s="86"/>
      <c r="CX126" s="86"/>
      <c r="DA126" s="54"/>
      <c r="DB126" s="54"/>
      <c r="DC126" s="54"/>
      <c r="DD126" s="54"/>
      <c r="DE126" s="54"/>
      <c r="DF126" s="54"/>
      <c r="DG126" s="54"/>
      <c r="DH126" s="63"/>
      <c r="DI126" s="63"/>
      <c r="DJ126" s="63"/>
      <c r="DK126" s="63"/>
      <c r="DL126" s="63"/>
      <c r="DN126" s="86"/>
      <c r="DO126" s="86"/>
      <c r="DP126" s="86"/>
      <c r="DR126" s="63"/>
      <c r="DS126" s="54"/>
      <c r="DT126" s="54"/>
      <c r="DU126" s="54"/>
      <c r="DV126" s="54"/>
      <c r="DW126" s="54"/>
      <c r="DX126" s="54"/>
      <c r="DY126" s="63"/>
      <c r="DZ126" s="63"/>
      <c r="EA126" s="63"/>
      <c r="EB126" s="63"/>
      <c r="EC126" s="63"/>
      <c r="EE126" s="86"/>
      <c r="EF126" s="86"/>
      <c r="EG126" s="86"/>
      <c r="EI126" s="63"/>
      <c r="EJ126" s="54"/>
      <c r="EK126" s="54"/>
      <c r="EL126" s="54"/>
      <c r="EM126" s="54"/>
      <c r="EN126" s="54"/>
      <c r="EQ126" s="86"/>
      <c r="ER126" s="86"/>
      <c r="EX126" s="54"/>
      <c r="EZ126" s="54"/>
      <c r="FA126" s="54"/>
      <c r="FB126" s="54"/>
      <c r="FC126" s="54"/>
      <c r="FG126" s="86"/>
      <c r="FH126" s="253"/>
      <c r="FL126" s="45"/>
      <c r="FP126" s="54"/>
      <c r="FQ126" s="54"/>
      <c r="FR126" s="54"/>
      <c r="FS126" s="54"/>
      <c r="FT126" s="63"/>
      <c r="FU126" s="54"/>
      <c r="FV126" s="54"/>
      <c r="FW126" s="54"/>
      <c r="FX126" s="86"/>
      <c r="FY126" s="86"/>
      <c r="FZ126" s="102"/>
      <c r="GA126" s="86"/>
      <c r="GB126" s="86"/>
      <c r="GD126" s="63"/>
      <c r="GE126" s="63"/>
      <c r="GF126" s="63"/>
      <c r="GG126" s="63"/>
      <c r="GH126" s="45"/>
      <c r="GI126" s="54"/>
      <c r="GJ126" s="54"/>
      <c r="GL126" s="86"/>
      <c r="GN126" s="54"/>
      <c r="GO126" s="54"/>
      <c r="GP126" s="54"/>
      <c r="GQ126" s="54"/>
      <c r="GR126" s="86"/>
      <c r="GS126" s="86"/>
      <c r="GU126" s="63"/>
      <c r="GV126" s="63"/>
      <c r="GW126" s="63"/>
      <c r="GX126" s="63"/>
      <c r="GZ126" s="63"/>
      <c r="HA126" s="54"/>
      <c r="HD126" s="86"/>
      <c r="HE126" s="54"/>
      <c r="HF126" s="54"/>
      <c r="HG126" s="54"/>
      <c r="HH126" s="54"/>
      <c r="HI126" s="86"/>
      <c r="HJ126" s="86"/>
      <c r="HQ126" s="63"/>
      <c r="HR126" s="54"/>
      <c r="HU126" s="86"/>
      <c r="HV126" s="54"/>
      <c r="HW126" s="54"/>
      <c r="HX126" s="54"/>
      <c r="HY126" s="54"/>
      <c r="HZ126" s="86"/>
      <c r="IA126" s="86"/>
      <c r="IF126" s="54"/>
      <c r="IH126" s="89"/>
      <c r="IK126" s="86"/>
      <c r="IL126" s="54"/>
      <c r="IM126" s="54"/>
      <c r="IN126" s="54"/>
      <c r="IO126" s="54"/>
      <c r="JB126" s="54"/>
      <c r="JC126" s="54"/>
      <c r="JD126" s="54"/>
      <c r="JE126" s="54"/>
    </row>
    <row r="127" spans="1:265">
      <c r="A127" s="86">
        <v>97</v>
      </c>
      <c r="B127" s="117"/>
      <c r="C127" s="117"/>
      <c r="D127" s="117"/>
      <c r="E127" s="117"/>
      <c r="K127" s="117"/>
      <c r="L127" s="45"/>
      <c r="M127" s="45"/>
      <c r="N127" s="45"/>
      <c r="O127" s="45"/>
      <c r="P127" s="45"/>
      <c r="Q127" s="45"/>
      <c r="R127" s="45"/>
      <c r="S127" s="117"/>
      <c r="T127" s="117"/>
      <c r="U127" s="74"/>
      <c r="V127" s="74"/>
      <c r="W127" s="74"/>
      <c r="X127" s="74"/>
      <c r="Y127" s="74"/>
      <c r="Z127" s="74"/>
      <c r="AA127" s="74"/>
      <c r="AB127" s="74"/>
      <c r="AC127" s="117"/>
      <c r="AD127" s="117"/>
      <c r="AE127" s="117"/>
      <c r="AF127" s="117"/>
      <c r="AG127" s="117"/>
      <c r="AH127" s="117"/>
      <c r="AI127" s="117"/>
      <c r="AJ127" s="117"/>
      <c r="AK127" s="117"/>
      <c r="AL127" s="117"/>
      <c r="AM127" s="117"/>
      <c r="AN127" s="117"/>
      <c r="AO127" s="117"/>
      <c r="AP127" s="117"/>
      <c r="AQ127" s="117"/>
      <c r="AR127" s="300"/>
      <c r="AS127" s="300"/>
      <c r="AT127" s="86"/>
      <c r="AU127" s="162"/>
      <c r="AV127" s="162"/>
      <c r="AW127" s="162"/>
      <c r="AX127" s="162"/>
      <c r="AY127" s="162"/>
      <c r="BB127" s="45"/>
      <c r="BC127" s="45"/>
      <c r="BD127" s="117"/>
      <c r="BE127" s="117"/>
      <c r="BF127" s="99"/>
      <c r="BG127" s="99"/>
      <c r="BH127" s="74"/>
      <c r="BI127" s="117"/>
      <c r="BJ127" s="117"/>
      <c r="BK127" s="117"/>
      <c r="BL127" s="117"/>
      <c r="BM127" s="117"/>
      <c r="BN127" s="117"/>
      <c r="BO127" s="117"/>
      <c r="BP127" s="117"/>
      <c r="BQ127" s="117"/>
      <c r="BR127" s="117"/>
      <c r="BS127" s="117"/>
      <c r="BT127" s="117"/>
      <c r="BU127" s="117"/>
      <c r="BV127" s="117"/>
      <c r="BW127" s="117"/>
      <c r="BX127" s="102"/>
      <c r="BY127" s="102"/>
      <c r="BZ127" s="102"/>
      <c r="CD127" s="102"/>
      <c r="CE127" s="102"/>
      <c r="CG127" s="86"/>
      <c r="CH127" s="86"/>
      <c r="CI127" s="86"/>
      <c r="CJ127" s="86"/>
      <c r="CL127" s="63"/>
      <c r="CM127" s="54"/>
      <c r="CN127" s="152"/>
      <c r="CO127" s="54"/>
      <c r="CP127" s="54"/>
      <c r="CQ127" s="86"/>
      <c r="CR127" s="63"/>
      <c r="CS127" s="63"/>
      <c r="CT127" s="63"/>
      <c r="CU127" s="63"/>
      <c r="CV127" s="86"/>
      <c r="CW127" s="86"/>
      <c r="CX127" s="86"/>
      <c r="DA127" s="54"/>
      <c r="DB127" s="54"/>
      <c r="DC127" s="54"/>
      <c r="DD127" s="54"/>
      <c r="DE127" s="54"/>
      <c r="DF127" s="54"/>
      <c r="DG127" s="54"/>
      <c r="DH127" s="63"/>
      <c r="DI127" s="63"/>
      <c r="DJ127" s="63"/>
      <c r="DK127" s="63"/>
      <c r="DL127" s="63"/>
      <c r="DN127" s="86"/>
      <c r="DO127" s="86"/>
      <c r="DP127" s="86"/>
      <c r="DR127" s="63"/>
      <c r="DS127" s="54"/>
      <c r="DT127" s="54"/>
      <c r="DU127" s="54"/>
      <c r="DV127" s="54"/>
      <c r="DW127" s="54"/>
      <c r="DX127" s="54"/>
      <c r="DY127" s="63"/>
      <c r="DZ127" s="63"/>
      <c r="EA127" s="63"/>
      <c r="EB127" s="63"/>
      <c r="EC127" s="63"/>
      <c r="EE127" s="86"/>
      <c r="EF127" s="86"/>
      <c r="EG127" s="86"/>
      <c r="EI127" s="63"/>
      <c r="EJ127" s="54"/>
      <c r="EK127" s="54"/>
      <c r="EL127" s="54"/>
      <c r="EM127" s="54"/>
      <c r="EN127" s="54"/>
      <c r="EQ127" s="86"/>
      <c r="ER127" s="86"/>
      <c r="EX127" s="54"/>
      <c r="EZ127" s="54"/>
      <c r="FA127" s="54"/>
      <c r="FB127" s="54"/>
      <c r="FC127" s="54"/>
      <c r="FG127" s="86"/>
      <c r="FH127" s="253"/>
      <c r="FL127" s="45"/>
      <c r="FP127" s="54"/>
      <c r="FQ127" s="54"/>
      <c r="FR127" s="54"/>
      <c r="FS127" s="54"/>
      <c r="FT127" s="63"/>
      <c r="FU127" s="54"/>
      <c r="FV127" s="54"/>
      <c r="FW127" s="54"/>
      <c r="FX127" s="86"/>
      <c r="FY127" s="86"/>
      <c r="FZ127" s="102"/>
      <c r="GA127" s="86"/>
      <c r="GB127" s="86"/>
      <c r="GD127" s="63"/>
      <c r="GE127" s="63"/>
      <c r="GF127" s="63"/>
      <c r="GG127" s="63"/>
      <c r="GH127" s="45"/>
      <c r="GI127" s="54"/>
      <c r="GJ127" s="54"/>
      <c r="GL127" s="86"/>
      <c r="GN127" s="54"/>
      <c r="GO127" s="54"/>
      <c r="GP127" s="54"/>
      <c r="GQ127" s="54"/>
      <c r="GR127" s="86"/>
      <c r="GS127" s="86"/>
      <c r="GU127" s="63"/>
      <c r="GV127" s="63"/>
      <c r="GW127" s="63"/>
      <c r="GX127" s="63"/>
      <c r="GZ127" s="63"/>
      <c r="HA127" s="54"/>
      <c r="HD127" s="86"/>
      <c r="HE127" s="54"/>
      <c r="HF127" s="54"/>
      <c r="HG127" s="54"/>
      <c r="HH127" s="54"/>
      <c r="HI127" s="86"/>
      <c r="HJ127" s="86"/>
      <c r="HQ127" s="63"/>
      <c r="HR127" s="54"/>
      <c r="HU127" s="86"/>
      <c r="HV127" s="54"/>
      <c r="HW127" s="54"/>
      <c r="HX127" s="54"/>
      <c r="HY127" s="54"/>
      <c r="HZ127" s="86"/>
      <c r="IA127" s="86"/>
      <c r="IF127" s="54"/>
      <c r="IH127" s="89"/>
      <c r="IK127" s="86"/>
      <c r="IL127" s="54"/>
      <c r="IM127" s="54"/>
      <c r="IN127" s="54"/>
      <c r="IO127" s="54"/>
      <c r="JB127" s="54"/>
      <c r="JC127" s="54"/>
      <c r="JD127" s="54"/>
      <c r="JE127" s="54"/>
    </row>
    <row r="128" spans="1:265">
      <c r="A128" s="86">
        <v>98</v>
      </c>
      <c r="B128" s="117"/>
      <c r="C128" s="117"/>
      <c r="D128" s="117"/>
      <c r="E128" s="117"/>
      <c r="K128" s="117"/>
      <c r="L128" s="45"/>
      <c r="M128" s="45"/>
      <c r="N128" s="45"/>
      <c r="O128" s="45"/>
      <c r="P128" s="45"/>
      <c r="Q128" s="45"/>
      <c r="R128" s="45"/>
      <c r="S128" s="117"/>
      <c r="T128" s="117"/>
      <c r="U128" s="74"/>
      <c r="V128" s="74"/>
      <c r="W128" s="74"/>
      <c r="X128" s="74"/>
      <c r="Y128" s="74"/>
      <c r="Z128" s="74"/>
      <c r="AA128" s="74"/>
      <c r="AB128" s="74"/>
      <c r="AC128" s="117"/>
      <c r="AD128" s="117"/>
      <c r="AE128" s="117"/>
      <c r="AF128" s="117"/>
      <c r="AG128" s="117"/>
      <c r="AH128" s="117"/>
      <c r="AI128" s="117"/>
      <c r="AJ128" s="117"/>
      <c r="AK128" s="117"/>
      <c r="AL128" s="117"/>
      <c r="AM128" s="117"/>
      <c r="AN128" s="117"/>
      <c r="AO128" s="117"/>
      <c r="AP128" s="117"/>
      <c r="AQ128" s="117"/>
      <c r="AR128" s="300"/>
      <c r="AS128" s="300"/>
      <c r="AT128" s="86"/>
      <c r="AU128" s="162"/>
      <c r="AV128" s="162"/>
      <c r="AW128" s="162"/>
      <c r="AX128" s="162"/>
      <c r="AY128" s="162"/>
      <c r="BB128" s="45"/>
      <c r="BC128" s="45"/>
      <c r="BD128" s="117"/>
      <c r="BE128" s="117"/>
      <c r="BF128" s="99"/>
      <c r="BG128" s="99"/>
      <c r="BH128" s="74"/>
      <c r="BI128" s="117"/>
      <c r="BJ128" s="117"/>
      <c r="BK128" s="117"/>
      <c r="BL128" s="117"/>
      <c r="BM128" s="117"/>
      <c r="BN128" s="117"/>
      <c r="BO128" s="117"/>
      <c r="BP128" s="117"/>
      <c r="BQ128" s="117"/>
      <c r="BR128" s="117"/>
      <c r="BS128" s="117"/>
      <c r="BT128" s="117"/>
      <c r="BU128" s="117"/>
      <c r="BV128" s="117"/>
      <c r="BW128" s="117"/>
      <c r="BX128" s="102"/>
      <c r="BY128" s="102"/>
      <c r="BZ128" s="102"/>
      <c r="CD128" s="102"/>
      <c r="CE128" s="102"/>
      <c r="CG128" s="86"/>
      <c r="CH128" s="86"/>
      <c r="CI128" s="86"/>
      <c r="CJ128" s="86"/>
      <c r="CL128" s="63"/>
      <c r="CM128" s="54"/>
      <c r="CN128" s="152"/>
      <c r="CO128" s="54"/>
      <c r="CP128" s="54"/>
      <c r="CQ128" s="86"/>
      <c r="CR128" s="63"/>
      <c r="CS128" s="63"/>
      <c r="CT128" s="63"/>
      <c r="CU128" s="63"/>
      <c r="CV128" s="86"/>
      <c r="CW128" s="86"/>
      <c r="CX128" s="86"/>
      <c r="DA128" s="54"/>
      <c r="DB128" s="54"/>
      <c r="DC128" s="54"/>
      <c r="DD128" s="54"/>
      <c r="DE128" s="54"/>
      <c r="DF128" s="54"/>
      <c r="DG128" s="54"/>
      <c r="DH128" s="63"/>
      <c r="DI128" s="63"/>
      <c r="DJ128" s="63"/>
      <c r="DK128" s="63"/>
      <c r="DL128" s="63"/>
      <c r="DN128" s="86"/>
      <c r="DO128" s="86"/>
      <c r="DP128" s="86"/>
      <c r="DR128" s="63"/>
      <c r="DS128" s="54"/>
      <c r="DT128" s="54"/>
      <c r="DU128" s="54"/>
      <c r="DV128" s="54"/>
      <c r="DW128" s="54"/>
      <c r="DX128" s="54"/>
      <c r="DY128" s="63"/>
      <c r="DZ128" s="63"/>
      <c r="EA128" s="63"/>
      <c r="EB128" s="63"/>
      <c r="EC128" s="63"/>
      <c r="EE128" s="86"/>
      <c r="EF128" s="86"/>
      <c r="EG128" s="86"/>
      <c r="EI128" s="63"/>
      <c r="EJ128" s="54"/>
      <c r="EK128" s="54"/>
      <c r="EL128" s="54"/>
      <c r="EM128" s="54"/>
      <c r="EN128" s="54"/>
      <c r="EQ128" s="86"/>
      <c r="ER128" s="86"/>
      <c r="EX128" s="54"/>
      <c r="EZ128" s="54"/>
      <c r="FA128" s="54"/>
      <c r="FB128" s="54"/>
      <c r="FC128" s="54"/>
      <c r="FG128" s="86"/>
      <c r="FH128" s="253"/>
      <c r="FL128" s="45"/>
      <c r="FP128" s="54"/>
      <c r="FQ128" s="54"/>
      <c r="FR128" s="54"/>
      <c r="FS128" s="54"/>
      <c r="FT128" s="63"/>
      <c r="FU128" s="54"/>
      <c r="FV128" s="54"/>
      <c r="FW128" s="54"/>
      <c r="FX128" s="86"/>
      <c r="FY128" s="86"/>
      <c r="FZ128" s="102"/>
      <c r="GA128" s="86"/>
      <c r="GB128" s="86"/>
      <c r="GD128" s="63"/>
      <c r="GE128" s="63"/>
      <c r="GF128" s="63"/>
      <c r="GG128" s="63"/>
      <c r="GH128" s="45"/>
      <c r="GI128" s="54"/>
      <c r="GJ128" s="54"/>
      <c r="GL128" s="86"/>
      <c r="GN128" s="54"/>
      <c r="GO128" s="54"/>
      <c r="GP128" s="54"/>
      <c r="GQ128" s="54"/>
      <c r="GR128" s="86"/>
      <c r="GS128" s="86"/>
      <c r="GU128" s="63"/>
      <c r="GV128" s="63"/>
      <c r="GW128" s="63"/>
      <c r="GX128" s="63"/>
      <c r="GZ128" s="63"/>
      <c r="HA128" s="54"/>
      <c r="HD128" s="86"/>
      <c r="HE128" s="54"/>
      <c r="HF128" s="54"/>
      <c r="HG128" s="54"/>
      <c r="HH128" s="54"/>
      <c r="HI128" s="86"/>
      <c r="HJ128" s="86"/>
      <c r="HQ128" s="63"/>
      <c r="HR128" s="54"/>
      <c r="HU128" s="86"/>
      <c r="HV128" s="54"/>
      <c r="HW128" s="54"/>
      <c r="HX128" s="54"/>
      <c r="HY128" s="54"/>
      <c r="HZ128" s="86"/>
      <c r="IA128" s="86"/>
      <c r="IF128" s="54"/>
      <c r="IH128" s="89"/>
      <c r="IK128" s="86"/>
      <c r="IL128" s="54"/>
      <c r="IM128" s="54"/>
      <c r="IN128" s="54"/>
      <c r="IO128" s="54"/>
      <c r="JB128" s="54"/>
      <c r="JC128" s="54"/>
      <c r="JD128" s="54"/>
      <c r="JE128" s="54"/>
    </row>
    <row r="129" spans="1:265">
      <c r="A129" s="86">
        <v>99</v>
      </c>
      <c r="B129" s="117"/>
      <c r="C129" s="117"/>
      <c r="D129" s="117"/>
      <c r="E129" s="117"/>
      <c r="K129" s="117"/>
      <c r="L129" s="45"/>
      <c r="M129" s="45"/>
      <c r="N129" s="45"/>
      <c r="O129" s="45"/>
      <c r="P129" s="45"/>
      <c r="Q129" s="45"/>
      <c r="R129" s="45"/>
      <c r="S129" s="117"/>
      <c r="T129" s="117"/>
      <c r="U129" s="74"/>
      <c r="V129" s="74"/>
      <c r="W129" s="74"/>
      <c r="X129" s="74"/>
      <c r="Y129" s="74"/>
      <c r="Z129" s="74"/>
      <c r="AA129" s="74"/>
      <c r="AB129" s="74"/>
      <c r="AC129" s="117"/>
      <c r="AD129" s="117"/>
      <c r="AE129" s="117"/>
      <c r="AF129" s="117"/>
      <c r="AG129" s="117"/>
      <c r="AH129" s="117"/>
      <c r="AI129" s="117"/>
      <c r="AJ129" s="117"/>
      <c r="AK129" s="117"/>
      <c r="AL129" s="117"/>
      <c r="AM129" s="117"/>
      <c r="AN129" s="117"/>
      <c r="AO129" s="117"/>
      <c r="AP129" s="117"/>
      <c r="AQ129" s="117"/>
      <c r="AR129" s="300"/>
      <c r="AS129" s="300"/>
      <c r="AT129" s="86"/>
      <c r="AU129" s="162"/>
      <c r="AV129" s="162"/>
      <c r="AW129" s="162"/>
      <c r="AX129" s="162"/>
      <c r="AY129" s="162"/>
      <c r="BB129" s="45"/>
      <c r="BC129" s="45"/>
      <c r="BD129" s="117"/>
      <c r="BE129" s="117"/>
      <c r="BF129" s="99"/>
      <c r="BG129" s="99"/>
      <c r="BH129" s="74"/>
      <c r="BI129" s="117"/>
      <c r="BJ129" s="117"/>
      <c r="BK129" s="117"/>
      <c r="BL129" s="117"/>
      <c r="BM129" s="117"/>
      <c r="BN129" s="117"/>
      <c r="BO129" s="117"/>
      <c r="BP129" s="117"/>
      <c r="BQ129" s="117"/>
      <c r="BR129" s="117"/>
      <c r="BS129" s="117"/>
      <c r="BT129" s="117"/>
      <c r="BU129" s="117"/>
      <c r="BV129" s="117"/>
      <c r="BW129" s="117"/>
      <c r="BX129" s="102"/>
      <c r="BY129" s="102"/>
      <c r="BZ129" s="102"/>
      <c r="CD129" s="102"/>
      <c r="CE129" s="102"/>
      <c r="CG129" s="86"/>
      <c r="CH129" s="86"/>
      <c r="CI129" s="86"/>
      <c r="CJ129" s="86"/>
      <c r="CL129" s="63"/>
      <c r="CM129" s="54"/>
      <c r="CN129" s="152"/>
      <c r="CO129" s="54"/>
      <c r="CP129" s="54"/>
      <c r="CQ129" s="86"/>
      <c r="CR129" s="63"/>
      <c r="CS129" s="63"/>
      <c r="CT129" s="63"/>
      <c r="CU129" s="63"/>
      <c r="CV129" s="86"/>
      <c r="CW129" s="86"/>
      <c r="CX129" s="86"/>
      <c r="DA129" s="54"/>
      <c r="DB129" s="54"/>
      <c r="DC129" s="54"/>
      <c r="DD129" s="54"/>
      <c r="DE129" s="54"/>
      <c r="DF129" s="54"/>
      <c r="DG129" s="54"/>
      <c r="DH129" s="63"/>
      <c r="DI129" s="63"/>
      <c r="DJ129" s="63"/>
      <c r="DK129" s="63"/>
      <c r="DL129" s="63"/>
      <c r="DN129" s="86"/>
      <c r="DO129" s="86"/>
      <c r="DP129" s="86"/>
      <c r="DR129" s="63"/>
      <c r="DS129" s="54"/>
      <c r="DT129" s="54"/>
      <c r="DU129" s="54"/>
      <c r="DV129" s="54"/>
      <c r="DW129" s="54"/>
      <c r="DX129" s="54"/>
      <c r="DY129" s="63"/>
      <c r="DZ129" s="63"/>
      <c r="EA129" s="63"/>
      <c r="EB129" s="63"/>
      <c r="EC129" s="63"/>
      <c r="EE129" s="86"/>
      <c r="EF129" s="86"/>
      <c r="EG129" s="86"/>
      <c r="EI129" s="63"/>
      <c r="EJ129" s="54"/>
      <c r="EK129" s="54"/>
      <c r="EL129" s="54"/>
      <c r="EM129" s="54"/>
      <c r="EN129" s="54"/>
      <c r="EQ129" s="86"/>
      <c r="ER129" s="86"/>
      <c r="EX129" s="54"/>
      <c r="EZ129" s="54"/>
      <c r="FA129" s="54"/>
      <c r="FB129" s="54"/>
      <c r="FC129" s="54"/>
      <c r="FG129" s="86"/>
      <c r="FH129" s="253"/>
      <c r="FL129" s="45"/>
      <c r="FP129" s="54"/>
      <c r="FQ129" s="54"/>
      <c r="FR129" s="54"/>
      <c r="FS129" s="54"/>
      <c r="FT129" s="63"/>
      <c r="FU129" s="54"/>
      <c r="FV129" s="54"/>
      <c r="FW129" s="54"/>
      <c r="FX129" s="86"/>
      <c r="FY129" s="86"/>
      <c r="FZ129" s="102"/>
      <c r="GA129" s="86"/>
      <c r="GB129" s="86"/>
      <c r="GD129" s="63"/>
      <c r="GE129" s="63"/>
      <c r="GF129" s="63"/>
      <c r="GG129" s="63"/>
      <c r="GH129" s="45"/>
      <c r="GI129" s="54"/>
      <c r="GJ129" s="54"/>
      <c r="GL129" s="86"/>
      <c r="GN129" s="54"/>
      <c r="GO129" s="54"/>
      <c r="GP129" s="54"/>
      <c r="GQ129" s="54"/>
      <c r="GR129" s="86"/>
      <c r="GS129" s="86"/>
      <c r="GU129" s="63"/>
      <c r="GV129" s="63"/>
      <c r="GW129" s="63"/>
      <c r="GX129" s="63"/>
      <c r="GZ129" s="63"/>
      <c r="HA129" s="54"/>
      <c r="HD129" s="86"/>
      <c r="HE129" s="54"/>
      <c r="HF129" s="54"/>
      <c r="HG129" s="54"/>
      <c r="HH129" s="54"/>
      <c r="HI129" s="86"/>
      <c r="HJ129" s="86"/>
      <c r="HQ129" s="63"/>
      <c r="HR129" s="54"/>
      <c r="HU129" s="86"/>
      <c r="HV129" s="54"/>
      <c r="HW129" s="54"/>
      <c r="HX129" s="54"/>
      <c r="HY129" s="54"/>
      <c r="HZ129" s="86"/>
      <c r="IA129" s="86"/>
      <c r="IF129" s="54"/>
      <c r="IH129" s="89"/>
      <c r="IK129" s="86"/>
      <c r="IL129" s="54"/>
      <c r="IM129" s="54"/>
      <c r="IN129" s="54"/>
      <c r="IO129" s="54"/>
      <c r="JB129" s="54"/>
      <c r="JC129" s="54"/>
      <c r="JD129" s="54"/>
      <c r="JE129" s="54"/>
    </row>
    <row r="130" spans="1:265">
      <c r="A130" s="86">
        <v>100</v>
      </c>
      <c r="B130" s="117"/>
      <c r="C130" s="117"/>
      <c r="D130" s="117"/>
      <c r="E130" s="117"/>
      <c r="K130" s="117"/>
      <c r="L130" s="45"/>
      <c r="M130" s="45"/>
      <c r="N130" s="45"/>
      <c r="O130" s="45"/>
      <c r="P130" s="45"/>
      <c r="Q130" s="45"/>
      <c r="R130" s="45"/>
      <c r="S130" s="117"/>
      <c r="T130" s="117"/>
      <c r="U130" s="74"/>
      <c r="V130" s="74"/>
      <c r="W130" s="74"/>
      <c r="X130" s="74"/>
      <c r="Y130" s="74"/>
      <c r="Z130" s="74"/>
      <c r="AA130" s="74"/>
      <c r="AB130" s="74"/>
      <c r="AC130" s="117"/>
      <c r="AD130" s="117"/>
      <c r="AE130" s="117"/>
      <c r="AF130" s="117"/>
      <c r="AG130" s="117"/>
      <c r="AH130" s="117"/>
      <c r="AI130" s="117"/>
      <c r="AJ130" s="117"/>
      <c r="AK130" s="117"/>
      <c r="AL130" s="117"/>
      <c r="AM130" s="117"/>
      <c r="AN130" s="117"/>
      <c r="AO130" s="117"/>
      <c r="AP130" s="117"/>
      <c r="AQ130" s="117"/>
      <c r="AR130" s="300"/>
      <c r="AS130" s="300"/>
      <c r="AT130" s="86"/>
      <c r="AU130" s="162"/>
      <c r="AV130" s="162"/>
      <c r="AW130" s="162"/>
      <c r="AX130" s="162"/>
      <c r="AY130" s="162"/>
      <c r="BB130" s="45"/>
      <c r="BC130" s="45"/>
      <c r="BD130" s="117"/>
      <c r="BE130" s="117"/>
      <c r="BF130" s="99"/>
      <c r="BG130" s="99"/>
      <c r="BH130" s="74"/>
      <c r="BI130" s="117"/>
      <c r="BJ130" s="117"/>
      <c r="BK130" s="117"/>
      <c r="BL130" s="117"/>
      <c r="BM130" s="117"/>
      <c r="BN130" s="117"/>
      <c r="BO130" s="117"/>
      <c r="BP130" s="117"/>
      <c r="BQ130" s="117"/>
      <c r="BR130" s="117"/>
      <c r="BS130" s="117"/>
      <c r="BT130" s="117"/>
      <c r="BU130" s="117"/>
      <c r="BV130" s="117"/>
      <c r="BW130" s="117"/>
      <c r="BX130" s="102"/>
      <c r="BY130" s="102"/>
      <c r="BZ130" s="102"/>
      <c r="CD130" s="102"/>
      <c r="CE130" s="102"/>
      <c r="CG130" s="86"/>
      <c r="CH130" s="86"/>
      <c r="CI130" s="86"/>
      <c r="CJ130" s="86"/>
      <c r="CL130" s="63"/>
      <c r="CM130" s="54"/>
      <c r="CN130" s="152"/>
      <c r="CO130" s="54"/>
      <c r="CP130" s="54"/>
      <c r="CQ130" s="86"/>
      <c r="CR130" s="63"/>
      <c r="CS130" s="63"/>
      <c r="CT130" s="63"/>
      <c r="CU130" s="63"/>
      <c r="CV130" s="86"/>
      <c r="CW130" s="86"/>
      <c r="CX130" s="86"/>
      <c r="DA130" s="54"/>
      <c r="DB130" s="54"/>
      <c r="DC130" s="54"/>
      <c r="DD130" s="54"/>
      <c r="DE130" s="54"/>
      <c r="DF130" s="54"/>
      <c r="DG130" s="54"/>
      <c r="DH130" s="63"/>
      <c r="DI130" s="63"/>
      <c r="DJ130" s="63"/>
      <c r="DK130" s="63"/>
      <c r="DL130" s="63"/>
      <c r="DN130" s="86"/>
      <c r="DO130" s="86"/>
      <c r="DP130" s="86"/>
      <c r="DR130" s="63"/>
      <c r="DS130" s="54"/>
      <c r="DT130" s="54"/>
      <c r="DU130" s="54"/>
      <c r="DV130" s="54"/>
      <c r="DW130" s="54"/>
      <c r="DX130" s="54"/>
      <c r="DY130" s="63"/>
      <c r="DZ130" s="63"/>
      <c r="EA130" s="63"/>
      <c r="EB130" s="63"/>
      <c r="EC130" s="63"/>
      <c r="EE130" s="86"/>
      <c r="EF130" s="86"/>
      <c r="EG130" s="86"/>
      <c r="EI130" s="63"/>
      <c r="EJ130" s="54"/>
      <c r="EK130" s="54"/>
      <c r="EL130" s="54"/>
      <c r="EM130" s="54"/>
      <c r="EN130" s="54"/>
      <c r="EQ130" s="86"/>
      <c r="ER130" s="86"/>
      <c r="EX130" s="54"/>
      <c r="EZ130" s="54"/>
      <c r="FA130" s="54"/>
      <c r="FB130" s="54"/>
      <c r="FC130" s="54"/>
      <c r="FG130" s="86"/>
      <c r="FH130" s="253"/>
      <c r="FL130" s="45"/>
      <c r="FP130" s="54"/>
      <c r="FQ130" s="54"/>
      <c r="FR130" s="54"/>
      <c r="FS130" s="54"/>
      <c r="FT130" s="63"/>
      <c r="FU130" s="54"/>
      <c r="FV130" s="54"/>
      <c r="FW130" s="54"/>
      <c r="FX130" s="86"/>
      <c r="FY130" s="86"/>
      <c r="FZ130" s="102"/>
      <c r="GA130" s="86"/>
      <c r="GB130" s="86"/>
      <c r="GD130" s="63"/>
      <c r="GE130" s="63"/>
      <c r="GF130" s="63"/>
      <c r="GG130" s="63"/>
      <c r="GH130" s="45"/>
      <c r="GI130" s="54"/>
      <c r="GJ130" s="54"/>
      <c r="GL130" s="86"/>
      <c r="GN130" s="54"/>
      <c r="GO130" s="54"/>
      <c r="GP130" s="54"/>
      <c r="GQ130" s="54"/>
      <c r="GR130" s="86"/>
      <c r="GS130" s="86"/>
      <c r="GU130" s="63"/>
      <c r="GV130" s="63"/>
      <c r="GW130" s="63"/>
      <c r="GX130" s="63"/>
      <c r="GZ130" s="63"/>
      <c r="HA130" s="54"/>
      <c r="HD130" s="86"/>
      <c r="HE130" s="54"/>
      <c r="HF130" s="54"/>
      <c r="HG130" s="54"/>
      <c r="HH130" s="54"/>
      <c r="HI130" s="86"/>
      <c r="HJ130" s="86"/>
      <c r="HQ130" s="63"/>
      <c r="HR130" s="54"/>
      <c r="HU130" s="86"/>
      <c r="HV130" s="54"/>
      <c r="HW130" s="54"/>
      <c r="HX130" s="54"/>
      <c r="HY130" s="54"/>
      <c r="HZ130" s="86"/>
      <c r="IA130" s="86"/>
      <c r="IF130" s="54"/>
      <c r="IH130" s="89"/>
      <c r="IK130" s="86"/>
      <c r="IL130" s="54"/>
      <c r="IM130" s="54"/>
      <c r="IN130" s="54"/>
      <c r="IO130" s="54"/>
      <c r="JB130" s="54"/>
      <c r="JC130" s="54"/>
      <c r="JD130" s="54"/>
      <c r="JE130" s="54"/>
    </row>
    <row r="131" spans="1:265">
      <c r="A131" s="86">
        <v>101</v>
      </c>
      <c r="B131" s="117"/>
      <c r="C131" s="117"/>
      <c r="D131" s="117"/>
      <c r="E131" s="117"/>
      <c r="K131" s="117"/>
      <c r="L131" s="45"/>
      <c r="M131" s="45"/>
      <c r="N131" s="45"/>
      <c r="O131" s="45"/>
      <c r="P131" s="45"/>
      <c r="Q131" s="45"/>
      <c r="R131" s="45"/>
      <c r="S131" s="117"/>
      <c r="T131" s="117"/>
      <c r="U131" s="74"/>
      <c r="V131" s="74"/>
      <c r="W131" s="74"/>
      <c r="X131" s="74"/>
      <c r="Y131" s="74"/>
      <c r="Z131" s="74"/>
      <c r="AA131" s="74"/>
      <c r="AB131" s="74"/>
      <c r="AC131" s="117"/>
      <c r="AD131" s="117"/>
      <c r="AE131" s="117"/>
      <c r="AF131" s="117"/>
      <c r="AG131" s="117"/>
      <c r="AH131" s="117"/>
      <c r="AI131" s="117"/>
      <c r="AJ131" s="117"/>
      <c r="AK131" s="117"/>
      <c r="AL131" s="117"/>
      <c r="AM131" s="117"/>
      <c r="AN131" s="117"/>
      <c r="AO131" s="117"/>
      <c r="AP131" s="117"/>
      <c r="AQ131" s="117"/>
      <c r="AR131" s="300"/>
      <c r="AS131" s="300"/>
      <c r="AT131" s="86"/>
      <c r="AU131" s="162"/>
      <c r="AV131" s="162"/>
      <c r="AW131" s="162"/>
      <c r="AX131" s="162"/>
      <c r="AY131" s="162"/>
      <c r="BB131" s="45"/>
      <c r="BC131" s="45"/>
      <c r="BD131" s="117"/>
      <c r="BE131" s="117"/>
      <c r="BF131" s="99"/>
      <c r="BG131" s="99"/>
      <c r="BH131" s="74"/>
      <c r="BI131" s="117"/>
      <c r="BJ131" s="117"/>
      <c r="BK131" s="117"/>
      <c r="BL131" s="117"/>
      <c r="BM131" s="117"/>
      <c r="BN131" s="117"/>
      <c r="BO131" s="117"/>
      <c r="BP131" s="117"/>
      <c r="BQ131" s="117"/>
      <c r="BR131" s="117"/>
      <c r="BS131" s="117"/>
      <c r="BT131" s="117"/>
      <c r="BU131" s="117"/>
      <c r="BV131" s="117"/>
      <c r="BW131" s="117"/>
      <c r="BX131" s="102"/>
      <c r="BY131" s="102"/>
      <c r="BZ131" s="102"/>
      <c r="CD131" s="102"/>
      <c r="CE131" s="102"/>
      <c r="CG131" s="86"/>
      <c r="CH131" s="86"/>
      <c r="CI131" s="86"/>
      <c r="CJ131" s="86"/>
      <c r="CL131" s="63"/>
      <c r="CM131" s="54"/>
      <c r="CN131" s="152"/>
      <c r="CO131" s="54"/>
      <c r="CP131" s="54"/>
      <c r="CQ131" s="86"/>
      <c r="CR131" s="63"/>
      <c r="CS131" s="63"/>
      <c r="CT131" s="63"/>
      <c r="CU131" s="63"/>
      <c r="CV131" s="86"/>
      <c r="CW131" s="86"/>
      <c r="CX131" s="86"/>
      <c r="DA131" s="54"/>
      <c r="DB131" s="54"/>
      <c r="DC131" s="54"/>
      <c r="DD131" s="54"/>
      <c r="DE131" s="54"/>
      <c r="DF131" s="54"/>
      <c r="DG131" s="54"/>
      <c r="DH131" s="63"/>
      <c r="DI131" s="63"/>
      <c r="DJ131" s="63"/>
      <c r="DK131" s="63"/>
      <c r="DL131" s="63"/>
      <c r="DN131" s="86"/>
      <c r="DO131" s="86"/>
      <c r="DP131" s="86"/>
      <c r="DR131" s="63"/>
      <c r="DS131" s="54"/>
      <c r="DT131" s="54"/>
      <c r="DU131" s="54"/>
      <c r="DV131" s="54"/>
      <c r="DW131" s="54"/>
      <c r="DX131" s="54"/>
      <c r="DY131" s="63"/>
      <c r="DZ131" s="63"/>
      <c r="EA131" s="63"/>
      <c r="EB131" s="63"/>
      <c r="EC131" s="63"/>
      <c r="EE131" s="86"/>
      <c r="EF131" s="86"/>
      <c r="EG131" s="86"/>
      <c r="EI131" s="63"/>
      <c r="EJ131" s="54"/>
      <c r="EK131" s="54"/>
      <c r="EL131" s="54"/>
      <c r="EM131" s="54"/>
      <c r="EN131" s="54"/>
      <c r="EQ131" s="86"/>
      <c r="ER131" s="86"/>
      <c r="EX131" s="54"/>
      <c r="EZ131" s="54"/>
      <c r="FA131" s="54"/>
      <c r="FB131" s="54"/>
      <c r="FC131" s="54"/>
      <c r="FG131" s="86"/>
      <c r="FH131" s="253"/>
      <c r="FL131" s="45"/>
      <c r="FP131" s="54"/>
      <c r="FQ131" s="54"/>
      <c r="FR131" s="54"/>
      <c r="FS131" s="54"/>
      <c r="FT131" s="63"/>
      <c r="FU131" s="54"/>
      <c r="FV131" s="54"/>
      <c r="FW131" s="54"/>
      <c r="FX131" s="86"/>
      <c r="FY131" s="86"/>
      <c r="FZ131" s="102"/>
      <c r="GA131" s="86"/>
      <c r="GB131" s="86"/>
      <c r="GD131" s="63"/>
      <c r="GE131" s="63"/>
      <c r="GF131" s="63"/>
      <c r="GG131" s="63"/>
      <c r="GH131" s="45"/>
      <c r="GI131" s="54"/>
      <c r="GJ131" s="54"/>
      <c r="GL131" s="86"/>
      <c r="GN131" s="54"/>
      <c r="GO131" s="54"/>
      <c r="GP131" s="54"/>
      <c r="GQ131" s="54"/>
      <c r="GR131" s="86"/>
      <c r="GS131" s="86"/>
      <c r="GU131" s="63"/>
      <c r="GV131" s="63"/>
      <c r="GW131" s="63"/>
      <c r="GX131" s="63"/>
      <c r="GZ131" s="63"/>
      <c r="HA131" s="54"/>
      <c r="HD131" s="86"/>
      <c r="HE131" s="54"/>
      <c r="HF131" s="54"/>
      <c r="HG131" s="54"/>
      <c r="HH131" s="54"/>
      <c r="HI131" s="86"/>
      <c r="HJ131" s="86"/>
      <c r="HQ131" s="63"/>
      <c r="HR131" s="54"/>
      <c r="HU131" s="86"/>
      <c r="HV131" s="54"/>
      <c r="HW131" s="54"/>
      <c r="HX131" s="54"/>
      <c r="HY131" s="54"/>
      <c r="HZ131" s="86"/>
      <c r="IA131" s="86"/>
      <c r="IF131" s="54"/>
      <c r="IH131" s="89"/>
      <c r="IK131" s="86"/>
      <c r="IL131" s="54"/>
      <c r="IM131" s="54"/>
      <c r="IN131" s="54"/>
      <c r="IO131" s="54"/>
      <c r="JB131" s="54"/>
      <c r="JC131" s="54"/>
      <c r="JD131" s="54"/>
      <c r="JE131" s="54"/>
    </row>
    <row r="132" spans="1:265">
      <c r="A132" s="86">
        <v>102</v>
      </c>
      <c r="B132" s="117"/>
      <c r="C132" s="117"/>
      <c r="D132" s="117"/>
      <c r="E132" s="117"/>
      <c r="K132" s="117"/>
      <c r="L132" s="45"/>
      <c r="M132" s="45"/>
      <c r="N132" s="45"/>
      <c r="O132" s="45"/>
      <c r="P132" s="45"/>
      <c r="Q132" s="45"/>
      <c r="R132" s="45"/>
      <c r="S132" s="117"/>
      <c r="T132" s="117"/>
      <c r="U132" s="74"/>
      <c r="V132" s="74"/>
      <c r="W132" s="74"/>
      <c r="X132" s="74"/>
      <c r="Y132" s="74"/>
      <c r="Z132" s="74"/>
      <c r="AA132" s="74"/>
      <c r="AB132" s="74"/>
      <c r="AC132" s="117"/>
      <c r="AD132" s="117"/>
      <c r="AE132" s="117"/>
      <c r="AF132" s="117"/>
      <c r="AG132" s="117"/>
      <c r="AH132" s="117"/>
      <c r="AI132" s="117"/>
      <c r="AJ132" s="117"/>
      <c r="AK132" s="117"/>
      <c r="AL132" s="117"/>
      <c r="AM132" s="117"/>
      <c r="AN132" s="117"/>
      <c r="AO132" s="117"/>
      <c r="AP132" s="117"/>
      <c r="AQ132" s="117"/>
      <c r="AR132" s="300"/>
      <c r="AS132" s="300"/>
      <c r="AT132" s="86"/>
      <c r="AU132" s="162"/>
      <c r="AV132" s="162"/>
      <c r="AW132" s="162"/>
      <c r="AX132" s="162"/>
      <c r="AY132" s="162"/>
      <c r="BB132" s="45"/>
      <c r="BC132" s="45"/>
      <c r="BD132" s="117"/>
      <c r="BE132" s="117"/>
      <c r="BF132" s="99"/>
      <c r="BG132" s="99"/>
      <c r="BH132" s="74"/>
      <c r="BI132" s="117"/>
      <c r="BJ132" s="117"/>
      <c r="BK132" s="117"/>
      <c r="BL132" s="117"/>
      <c r="BM132" s="117"/>
      <c r="BN132" s="117"/>
      <c r="BO132" s="117"/>
      <c r="BP132" s="117"/>
      <c r="BQ132" s="117"/>
      <c r="BR132" s="117"/>
      <c r="BS132" s="117"/>
      <c r="BT132" s="117"/>
      <c r="BU132" s="117"/>
      <c r="BV132" s="117"/>
      <c r="BW132" s="117"/>
      <c r="BX132" s="102"/>
      <c r="BY132" s="102"/>
      <c r="BZ132" s="102"/>
      <c r="CD132" s="102"/>
      <c r="CE132" s="102"/>
      <c r="CG132" s="86"/>
      <c r="CH132" s="86"/>
      <c r="CI132" s="86"/>
      <c r="CJ132" s="86"/>
      <c r="CL132" s="63"/>
      <c r="CM132" s="54"/>
      <c r="CN132" s="152"/>
      <c r="CO132" s="54"/>
      <c r="CP132" s="54"/>
      <c r="CQ132" s="86"/>
      <c r="CR132" s="63"/>
      <c r="CS132" s="63"/>
      <c r="CT132" s="63"/>
      <c r="CU132" s="63"/>
      <c r="CV132" s="86"/>
      <c r="CW132" s="86"/>
      <c r="CX132" s="86"/>
      <c r="DF132" s="54"/>
      <c r="DG132" s="54"/>
      <c r="DH132" s="63"/>
      <c r="DI132" s="63"/>
      <c r="DJ132" s="63"/>
      <c r="DK132" s="63"/>
      <c r="DL132" s="63"/>
      <c r="DN132" s="86"/>
      <c r="DO132" s="86"/>
      <c r="DP132" s="86"/>
      <c r="DR132" s="63"/>
      <c r="DW132" s="54"/>
      <c r="DX132" s="54"/>
      <c r="DY132" s="63"/>
      <c r="DZ132" s="63"/>
      <c r="EA132" s="63"/>
      <c r="EB132" s="63"/>
      <c r="EC132" s="63"/>
      <c r="EE132" s="86"/>
      <c r="EF132" s="86"/>
      <c r="EG132" s="86"/>
      <c r="EI132" s="63"/>
      <c r="EN132" s="54"/>
      <c r="EQ132" s="86"/>
      <c r="ER132" s="86"/>
      <c r="EX132" s="54"/>
      <c r="FG132" s="86"/>
      <c r="FH132" s="253"/>
      <c r="FL132" s="45"/>
      <c r="FT132" s="63"/>
      <c r="FU132" s="54"/>
      <c r="FV132" s="54"/>
      <c r="FW132" s="54"/>
      <c r="FX132" s="86"/>
      <c r="FY132" s="86"/>
      <c r="FZ132" s="102"/>
      <c r="GA132" s="86"/>
      <c r="GB132" s="86"/>
      <c r="GD132" s="63"/>
      <c r="GE132" s="63"/>
      <c r="GF132" s="63"/>
      <c r="GG132" s="63"/>
      <c r="GH132" s="45"/>
      <c r="GI132" s="54"/>
      <c r="GJ132" s="54"/>
      <c r="GL132" s="86"/>
      <c r="GR132" s="86"/>
      <c r="GS132" s="86"/>
      <c r="GU132" s="63"/>
      <c r="GV132" s="63"/>
      <c r="GW132" s="63"/>
      <c r="GX132" s="63"/>
      <c r="GZ132" s="63"/>
      <c r="HA132" s="54"/>
      <c r="HD132" s="86"/>
      <c r="HI132" s="86"/>
      <c r="HJ132" s="86"/>
      <c r="HQ132" s="63"/>
      <c r="HR132" s="54"/>
      <c r="HU132" s="86"/>
      <c r="HZ132" s="86"/>
      <c r="IA132" s="86"/>
      <c r="IF132" s="54"/>
      <c r="IH132" s="89"/>
      <c r="IK132" s="86"/>
    </row>
    <row r="133" spans="1:265">
      <c r="A133" s="86">
        <v>103</v>
      </c>
      <c r="B133" s="117"/>
      <c r="C133" s="117"/>
      <c r="D133" s="117"/>
      <c r="E133" s="117"/>
      <c r="K133" s="117"/>
      <c r="L133" s="45"/>
      <c r="M133" s="45"/>
      <c r="N133" s="45"/>
      <c r="O133" s="45"/>
      <c r="P133" s="45"/>
      <c r="Q133" s="45"/>
      <c r="R133" s="45"/>
      <c r="S133" s="117"/>
      <c r="T133" s="117"/>
      <c r="U133" s="74"/>
      <c r="V133" s="74"/>
      <c r="W133" s="74"/>
      <c r="X133" s="74"/>
      <c r="Y133" s="74"/>
      <c r="Z133" s="74"/>
      <c r="AA133" s="74"/>
      <c r="AB133" s="74"/>
      <c r="AC133" s="117"/>
      <c r="AD133" s="117"/>
      <c r="AE133" s="117"/>
      <c r="AF133" s="117"/>
      <c r="AG133" s="117"/>
      <c r="AH133" s="117"/>
      <c r="AI133" s="117"/>
      <c r="AJ133" s="117"/>
      <c r="AK133" s="117"/>
      <c r="AL133" s="117"/>
      <c r="AM133" s="117"/>
      <c r="AN133" s="117"/>
      <c r="AO133" s="117"/>
      <c r="AP133" s="117"/>
      <c r="AQ133" s="117"/>
      <c r="AR133" s="300"/>
      <c r="AS133" s="300"/>
      <c r="AT133" s="86"/>
      <c r="AU133" s="162"/>
      <c r="AV133" s="162"/>
      <c r="AW133" s="162"/>
      <c r="AX133" s="162"/>
      <c r="AY133" s="162"/>
      <c r="BB133" s="45"/>
      <c r="BC133" s="45"/>
      <c r="BD133" s="117"/>
      <c r="BE133" s="117"/>
      <c r="BF133" s="99"/>
      <c r="BG133" s="99"/>
      <c r="BH133" s="74"/>
      <c r="BI133" s="117"/>
      <c r="BJ133" s="117"/>
      <c r="BK133" s="117"/>
      <c r="BL133" s="117"/>
      <c r="BM133" s="117"/>
      <c r="BN133" s="117"/>
      <c r="BO133" s="117"/>
      <c r="BP133" s="117"/>
      <c r="BQ133" s="117"/>
      <c r="BR133" s="117"/>
      <c r="BS133" s="117"/>
      <c r="BT133" s="117"/>
      <c r="BU133" s="117"/>
      <c r="BV133" s="117"/>
      <c r="BW133" s="117"/>
      <c r="BX133" s="102"/>
      <c r="BY133" s="102"/>
      <c r="BZ133" s="102"/>
      <c r="CD133" s="102"/>
      <c r="CE133" s="102"/>
      <c r="CG133" s="86"/>
      <c r="CH133" s="86"/>
      <c r="CI133" s="86"/>
      <c r="CJ133" s="86"/>
      <c r="CL133" s="63"/>
      <c r="CM133" s="54"/>
      <c r="CN133" s="152"/>
      <c r="CO133" s="54"/>
      <c r="CP133" s="54"/>
      <c r="CQ133" s="86"/>
      <c r="CR133" s="63"/>
      <c r="CS133" s="63"/>
      <c r="CT133" s="63"/>
      <c r="CU133" s="63"/>
      <c r="CV133" s="86"/>
      <c r="CW133" s="86"/>
      <c r="CX133" s="86"/>
      <c r="DF133" s="54"/>
      <c r="DG133" s="54"/>
      <c r="DH133" s="63"/>
      <c r="DI133" s="63"/>
      <c r="DJ133" s="63"/>
      <c r="DK133" s="63"/>
      <c r="DL133" s="63"/>
      <c r="DN133" s="86"/>
      <c r="DO133" s="86"/>
      <c r="DP133" s="86"/>
      <c r="DR133" s="63"/>
      <c r="DW133" s="54"/>
      <c r="DX133" s="54"/>
      <c r="DY133" s="63"/>
      <c r="DZ133" s="63"/>
      <c r="EA133" s="63"/>
      <c r="EB133" s="63"/>
      <c r="EC133" s="63"/>
      <c r="EE133" s="86"/>
      <c r="EF133" s="86"/>
      <c r="EG133" s="86"/>
      <c r="EI133" s="63"/>
      <c r="EN133" s="54"/>
      <c r="EQ133" s="86"/>
      <c r="ER133" s="86"/>
      <c r="EX133" s="54"/>
      <c r="FG133" s="86"/>
      <c r="FH133" s="253"/>
      <c r="FL133" s="45"/>
      <c r="FT133" s="63"/>
      <c r="FU133" s="54"/>
      <c r="FV133" s="54"/>
      <c r="FW133" s="54"/>
      <c r="FX133" s="86"/>
      <c r="FY133" s="86"/>
      <c r="FZ133" s="102"/>
      <c r="GA133" s="86"/>
      <c r="GB133" s="86"/>
      <c r="GD133" s="63"/>
      <c r="GE133" s="63"/>
      <c r="GF133" s="63"/>
      <c r="GG133" s="63"/>
      <c r="GH133" s="45"/>
      <c r="GI133" s="54"/>
      <c r="GJ133" s="54"/>
      <c r="GL133" s="86"/>
      <c r="GR133" s="86"/>
      <c r="GS133" s="86"/>
      <c r="GU133" s="63"/>
      <c r="GV133" s="63"/>
      <c r="GW133" s="63"/>
      <c r="GX133" s="63"/>
      <c r="GZ133" s="63"/>
      <c r="HA133" s="54"/>
      <c r="HD133" s="86"/>
      <c r="HI133" s="86"/>
      <c r="HJ133" s="86"/>
      <c r="HQ133" s="63"/>
      <c r="HR133" s="54"/>
      <c r="HU133" s="86"/>
      <c r="HZ133" s="86"/>
      <c r="IA133" s="86"/>
      <c r="IF133" s="54"/>
      <c r="IH133" s="89"/>
      <c r="IK133" s="86"/>
    </row>
    <row r="134" spans="1:265">
      <c r="A134" s="86">
        <v>104</v>
      </c>
      <c r="B134" s="117"/>
      <c r="C134" s="117"/>
      <c r="D134" s="117"/>
      <c r="E134" s="117"/>
      <c r="K134" s="117"/>
      <c r="L134" s="45"/>
      <c r="M134" s="45"/>
      <c r="N134" s="45"/>
      <c r="O134" s="45"/>
      <c r="P134" s="45"/>
      <c r="Q134" s="45"/>
      <c r="R134" s="45"/>
      <c r="S134" s="117"/>
      <c r="T134" s="117"/>
      <c r="U134" s="74"/>
      <c r="V134" s="74"/>
      <c r="W134" s="74"/>
      <c r="X134" s="74"/>
      <c r="Y134" s="74"/>
      <c r="Z134" s="74"/>
      <c r="AA134" s="74"/>
      <c r="AB134" s="74"/>
      <c r="AC134" s="117"/>
      <c r="AD134" s="117"/>
      <c r="AE134" s="117"/>
      <c r="AF134" s="117"/>
      <c r="AG134" s="117"/>
      <c r="AH134" s="117"/>
      <c r="AI134" s="117"/>
      <c r="AJ134" s="117"/>
      <c r="AK134" s="117"/>
      <c r="AL134" s="117"/>
      <c r="AM134" s="117"/>
      <c r="AN134" s="117"/>
      <c r="AO134" s="117"/>
      <c r="AP134" s="117"/>
      <c r="AQ134" s="117"/>
      <c r="AR134" s="300"/>
      <c r="AS134" s="300"/>
      <c r="AT134" s="86"/>
      <c r="AU134" s="162"/>
      <c r="AV134" s="162"/>
      <c r="AW134" s="162"/>
      <c r="AX134" s="162"/>
      <c r="AY134" s="162"/>
      <c r="BB134" s="45"/>
      <c r="BC134" s="45"/>
      <c r="BD134" s="117"/>
      <c r="BE134" s="117"/>
      <c r="BF134" s="99"/>
      <c r="BG134" s="99"/>
      <c r="BH134" s="74"/>
      <c r="BI134" s="117"/>
      <c r="BJ134" s="117"/>
      <c r="BK134" s="117"/>
      <c r="BL134" s="117"/>
      <c r="BM134" s="117"/>
      <c r="BN134" s="117"/>
      <c r="BO134" s="117"/>
      <c r="BP134" s="117"/>
      <c r="BQ134" s="117"/>
      <c r="BR134" s="117"/>
      <c r="BS134" s="117"/>
      <c r="BT134" s="117"/>
      <c r="BU134" s="117"/>
      <c r="BV134" s="117"/>
      <c r="BW134" s="117"/>
      <c r="BX134" s="102"/>
      <c r="BY134" s="102"/>
      <c r="BZ134" s="102"/>
      <c r="CD134" s="102"/>
      <c r="CE134" s="102"/>
      <c r="CG134" s="86"/>
      <c r="CH134" s="86"/>
      <c r="CI134" s="86"/>
      <c r="CJ134" s="86"/>
      <c r="CL134" s="63"/>
      <c r="CM134" s="54"/>
      <c r="CN134" s="152"/>
      <c r="CO134" s="54"/>
      <c r="CP134" s="54"/>
      <c r="CQ134" s="86"/>
      <c r="CR134" s="63"/>
      <c r="CS134" s="63"/>
      <c r="CT134" s="63"/>
      <c r="CU134" s="63"/>
      <c r="CV134" s="86"/>
      <c r="CW134" s="86"/>
      <c r="CX134" s="86"/>
      <c r="DF134" s="54"/>
      <c r="DG134" s="54"/>
      <c r="DH134" s="63"/>
      <c r="DI134" s="63"/>
      <c r="DJ134" s="63"/>
      <c r="DK134" s="63"/>
      <c r="DL134" s="63"/>
      <c r="DN134" s="86"/>
      <c r="DO134" s="86"/>
      <c r="DP134" s="86"/>
      <c r="DR134" s="63"/>
      <c r="DW134" s="54"/>
      <c r="DX134" s="54"/>
      <c r="DY134" s="63"/>
      <c r="DZ134" s="63"/>
      <c r="EA134" s="63"/>
      <c r="EB134" s="63"/>
      <c r="EC134" s="63"/>
      <c r="EE134" s="86"/>
      <c r="EF134" s="86"/>
      <c r="EG134" s="86"/>
      <c r="EI134" s="63"/>
      <c r="EN134" s="54"/>
      <c r="EQ134" s="86"/>
      <c r="ER134" s="86"/>
      <c r="EX134" s="54"/>
      <c r="FG134" s="86"/>
      <c r="FH134" s="253"/>
      <c r="FL134" s="45"/>
      <c r="FT134" s="63"/>
      <c r="FU134" s="54"/>
      <c r="FV134" s="54"/>
      <c r="FW134" s="54"/>
      <c r="FX134" s="86"/>
      <c r="FY134" s="86"/>
      <c r="FZ134" s="102"/>
      <c r="GA134" s="86"/>
      <c r="GB134" s="86"/>
      <c r="GD134" s="63"/>
      <c r="GE134" s="63"/>
      <c r="GF134" s="63"/>
      <c r="GG134" s="63"/>
      <c r="GH134" s="45"/>
      <c r="GI134" s="54"/>
      <c r="GJ134" s="54"/>
      <c r="GL134" s="86"/>
      <c r="GR134" s="86"/>
      <c r="GS134" s="86"/>
      <c r="GU134" s="63"/>
      <c r="GV134" s="63"/>
      <c r="GW134" s="63"/>
      <c r="GX134" s="63"/>
      <c r="GZ134" s="63"/>
      <c r="HA134" s="54"/>
      <c r="HD134" s="86"/>
      <c r="HI134" s="86"/>
      <c r="HJ134" s="86"/>
      <c r="HQ134" s="63"/>
      <c r="HR134" s="54"/>
      <c r="HU134" s="86"/>
      <c r="HZ134" s="86"/>
      <c r="IA134" s="86"/>
      <c r="IF134" s="54"/>
      <c r="IH134" s="89"/>
      <c r="IK134" s="86"/>
    </row>
    <row r="135" spans="1:265">
      <c r="A135" s="86">
        <v>105</v>
      </c>
      <c r="B135" s="117"/>
      <c r="C135" s="117"/>
      <c r="D135" s="117"/>
      <c r="E135" s="117"/>
      <c r="K135" s="117"/>
      <c r="L135" s="45"/>
      <c r="M135" s="45"/>
      <c r="N135" s="45"/>
      <c r="O135" s="45"/>
      <c r="P135" s="45"/>
      <c r="Q135" s="45"/>
      <c r="R135" s="45"/>
      <c r="S135" s="117"/>
      <c r="T135" s="117"/>
      <c r="U135" s="74"/>
      <c r="V135" s="74"/>
      <c r="W135" s="74"/>
      <c r="X135" s="74"/>
      <c r="Y135" s="74"/>
      <c r="Z135" s="74"/>
      <c r="AA135" s="74"/>
      <c r="AB135" s="74"/>
      <c r="AC135" s="117"/>
      <c r="AD135" s="117"/>
      <c r="AE135" s="117"/>
      <c r="AF135" s="117"/>
      <c r="AG135" s="117"/>
      <c r="AH135" s="117"/>
      <c r="AI135" s="117"/>
      <c r="AJ135" s="117"/>
      <c r="AK135" s="117"/>
      <c r="AL135" s="117"/>
      <c r="AM135" s="117"/>
      <c r="AN135" s="117"/>
      <c r="AO135" s="117"/>
      <c r="AP135" s="117"/>
      <c r="AQ135" s="117"/>
      <c r="AR135" s="300"/>
      <c r="AS135" s="300"/>
      <c r="AT135" s="86"/>
      <c r="AU135" s="162"/>
      <c r="AV135" s="162"/>
      <c r="AW135" s="162"/>
      <c r="AX135" s="162"/>
      <c r="AY135" s="162"/>
      <c r="BB135" s="45"/>
      <c r="BC135" s="45"/>
      <c r="BD135" s="117"/>
      <c r="BE135" s="117"/>
      <c r="BF135" s="99"/>
      <c r="BG135" s="99"/>
      <c r="BH135" s="74"/>
      <c r="BI135" s="117"/>
      <c r="BJ135" s="117"/>
      <c r="BK135" s="117"/>
      <c r="BL135" s="117"/>
      <c r="BM135" s="117"/>
      <c r="BN135" s="117"/>
      <c r="BO135" s="117"/>
      <c r="BP135" s="117"/>
      <c r="BQ135" s="117"/>
      <c r="BR135" s="117"/>
      <c r="BS135" s="117"/>
      <c r="BT135" s="117"/>
      <c r="BU135" s="117"/>
      <c r="BV135" s="117"/>
      <c r="BW135" s="117"/>
      <c r="BX135" s="102"/>
      <c r="BY135" s="102"/>
      <c r="BZ135" s="102"/>
      <c r="CD135" s="102"/>
      <c r="CE135" s="102"/>
      <c r="CG135" s="86"/>
      <c r="CH135" s="86"/>
      <c r="CI135" s="86"/>
      <c r="CJ135" s="86"/>
      <c r="CL135" s="63"/>
      <c r="CM135" s="54"/>
      <c r="CN135" s="152"/>
      <c r="CO135" s="54"/>
      <c r="CP135" s="54"/>
      <c r="CQ135" s="86"/>
      <c r="CR135" s="63"/>
      <c r="CS135" s="63"/>
      <c r="CT135" s="63"/>
      <c r="CU135" s="63"/>
      <c r="CV135" s="86"/>
      <c r="CW135" s="86"/>
      <c r="CX135" s="86"/>
      <c r="DF135" s="54"/>
      <c r="DG135" s="54"/>
      <c r="DH135" s="63"/>
      <c r="DI135" s="63"/>
      <c r="DJ135" s="63"/>
      <c r="DK135" s="63"/>
      <c r="DL135" s="63"/>
      <c r="DN135" s="86"/>
      <c r="DO135" s="86"/>
      <c r="DP135" s="86"/>
      <c r="DR135" s="63"/>
      <c r="DW135" s="54"/>
      <c r="DX135" s="54"/>
      <c r="DY135" s="63"/>
      <c r="DZ135" s="63"/>
      <c r="EA135" s="63"/>
      <c r="EB135" s="63"/>
      <c r="EC135" s="63"/>
      <c r="EE135" s="86"/>
      <c r="EF135" s="86"/>
      <c r="EG135" s="86"/>
      <c r="EI135" s="63"/>
      <c r="EN135" s="54"/>
      <c r="EQ135" s="86"/>
      <c r="ER135" s="86"/>
      <c r="EX135" s="54"/>
      <c r="FG135" s="86"/>
      <c r="FH135" s="253"/>
      <c r="FL135" s="45"/>
      <c r="FT135" s="63"/>
      <c r="FU135" s="54"/>
      <c r="FV135" s="54"/>
      <c r="FW135" s="54"/>
      <c r="FX135" s="86"/>
      <c r="FY135" s="86"/>
      <c r="FZ135" s="102"/>
      <c r="GA135" s="86"/>
      <c r="GB135" s="86"/>
      <c r="GD135" s="63"/>
      <c r="GE135" s="63"/>
      <c r="GF135" s="63"/>
      <c r="GG135" s="63"/>
      <c r="GH135" s="45"/>
      <c r="GI135" s="54"/>
      <c r="GJ135" s="54"/>
      <c r="GL135" s="86"/>
      <c r="GR135" s="86"/>
      <c r="GS135" s="86"/>
      <c r="GU135" s="63"/>
      <c r="GV135" s="63"/>
      <c r="GW135" s="63"/>
      <c r="GX135" s="63"/>
      <c r="GZ135" s="63"/>
      <c r="HA135" s="54"/>
      <c r="HD135" s="86"/>
      <c r="HI135" s="86"/>
      <c r="HJ135" s="86"/>
      <c r="HQ135" s="63"/>
      <c r="HR135" s="54"/>
      <c r="HU135" s="86"/>
      <c r="HZ135" s="86"/>
      <c r="IA135" s="86"/>
      <c r="IF135" s="54"/>
      <c r="IH135" s="89"/>
      <c r="IK135" s="86"/>
    </row>
    <row r="136" spans="1:265">
      <c r="A136" s="86">
        <v>106</v>
      </c>
      <c r="B136" s="117"/>
      <c r="C136" s="117"/>
      <c r="D136" s="117"/>
      <c r="E136" s="117"/>
      <c r="K136" s="117"/>
      <c r="L136" s="45"/>
      <c r="M136" s="45"/>
      <c r="N136" s="45"/>
      <c r="O136" s="45"/>
      <c r="P136" s="45"/>
      <c r="Q136" s="45"/>
      <c r="R136" s="45"/>
      <c r="S136" s="117"/>
      <c r="T136" s="117"/>
      <c r="U136" s="74"/>
      <c r="V136" s="74"/>
      <c r="W136" s="74"/>
      <c r="X136" s="74"/>
      <c r="Y136" s="74"/>
      <c r="Z136" s="74"/>
      <c r="AA136" s="74"/>
      <c r="AB136" s="74"/>
      <c r="AC136" s="117"/>
      <c r="AD136" s="117"/>
      <c r="AE136" s="117"/>
      <c r="AF136" s="117"/>
      <c r="AG136" s="117"/>
      <c r="AH136" s="117"/>
      <c r="AI136" s="117"/>
      <c r="AJ136" s="117"/>
      <c r="AK136" s="117"/>
      <c r="AL136" s="117"/>
      <c r="AM136" s="117"/>
      <c r="AN136" s="117"/>
      <c r="AO136" s="117"/>
      <c r="AP136" s="117"/>
      <c r="AQ136" s="117"/>
      <c r="AR136" s="300"/>
      <c r="AS136" s="300"/>
      <c r="AT136" s="86"/>
      <c r="AU136" s="162"/>
      <c r="AV136" s="162"/>
      <c r="AW136" s="162"/>
      <c r="AX136" s="162"/>
      <c r="AY136" s="162"/>
      <c r="BB136" s="45"/>
      <c r="BC136" s="45"/>
      <c r="BD136" s="117"/>
      <c r="BE136" s="117"/>
      <c r="BF136" s="99"/>
      <c r="BG136" s="99"/>
      <c r="BH136" s="74"/>
      <c r="BI136" s="117"/>
      <c r="BJ136" s="117"/>
      <c r="BK136" s="117"/>
      <c r="BL136" s="117"/>
      <c r="BM136" s="117"/>
      <c r="BN136" s="117"/>
      <c r="BO136" s="117"/>
      <c r="BP136" s="117"/>
      <c r="BQ136" s="117"/>
      <c r="BR136" s="117"/>
      <c r="BS136" s="117"/>
      <c r="BT136" s="117"/>
      <c r="BU136" s="117"/>
      <c r="BV136" s="117"/>
      <c r="BW136" s="117"/>
      <c r="BX136" s="102"/>
      <c r="BY136" s="102"/>
      <c r="BZ136" s="102"/>
      <c r="CD136" s="102"/>
      <c r="CE136" s="102"/>
      <c r="CG136" s="86"/>
      <c r="CH136" s="86"/>
      <c r="CI136" s="86"/>
      <c r="CJ136" s="86"/>
      <c r="CL136" s="63"/>
      <c r="CM136" s="54"/>
      <c r="CN136" s="152"/>
      <c r="CO136" s="54"/>
      <c r="CP136" s="54"/>
      <c r="CQ136" s="86"/>
      <c r="CR136" s="63"/>
      <c r="CS136" s="63"/>
      <c r="CT136" s="63"/>
      <c r="CU136" s="63"/>
      <c r="CV136" s="86"/>
      <c r="CW136" s="86"/>
      <c r="CX136" s="86"/>
      <c r="DF136" s="54"/>
      <c r="DG136" s="54"/>
      <c r="DH136" s="63"/>
      <c r="DI136" s="63"/>
      <c r="DJ136" s="63"/>
      <c r="DK136" s="63"/>
      <c r="DL136" s="63"/>
      <c r="DN136" s="86"/>
      <c r="DO136" s="86"/>
      <c r="DP136" s="86"/>
      <c r="DR136" s="63"/>
      <c r="DW136" s="54"/>
      <c r="DX136" s="54"/>
      <c r="DY136" s="63"/>
      <c r="DZ136" s="63"/>
      <c r="EA136" s="63"/>
      <c r="EB136" s="63"/>
      <c r="EC136" s="63"/>
      <c r="EE136" s="86"/>
      <c r="EF136" s="86"/>
      <c r="EG136" s="86"/>
      <c r="EI136" s="63"/>
      <c r="EN136" s="54"/>
      <c r="EQ136" s="86"/>
      <c r="ER136" s="86"/>
      <c r="EX136" s="54"/>
      <c r="FG136" s="86"/>
      <c r="FH136" s="253"/>
      <c r="FL136" s="45"/>
      <c r="FT136" s="63"/>
      <c r="FU136" s="54"/>
      <c r="FV136" s="54"/>
      <c r="FW136" s="54"/>
      <c r="FX136" s="86"/>
      <c r="FY136" s="86"/>
      <c r="FZ136" s="102"/>
      <c r="GA136" s="86"/>
      <c r="GB136" s="86"/>
      <c r="GD136" s="63"/>
      <c r="GE136" s="63"/>
      <c r="GF136" s="63"/>
      <c r="GG136" s="63"/>
      <c r="GH136" s="45"/>
      <c r="GI136" s="54"/>
      <c r="GJ136" s="54"/>
      <c r="GL136" s="86"/>
      <c r="GR136" s="86"/>
      <c r="GS136" s="86"/>
      <c r="GU136" s="63"/>
      <c r="GV136" s="63"/>
      <c r="GW136" s="63"/>
      <c r="GX136" s="63"/>
      <c r="GZ136" s="63"/>
      <c r="HA136" s="54"/>
      <c r="HD136" s="86"/>
      <c r="HI136" s="86"/>
      <c r="HJ136" s="86"/>
      <c r="HQ136" s="63"/>
      <c r="HR136" s="54"/>
      <c r="HU136" s="86"/>
      <c r="HZ136" s="86"/>
      <c r="IA136" s="86"/>
      <c r="IF136" s="54"/>
      <c r="IH136" s="89"/>
      <c r="IK136" s="86"/>
    </row>
    <row r="137" spans="1:265">
      <c r="A137" s="86">
        <v>107</v>
      </c>
      <c r="B137" s="117"/>
      <c r="C137" s="117"/>
      <c r="D137" s="117"/>
      <c r="E137" s="117"/>
      <c r="K137" s="117"/>
      <c r="L137" s="45"/>
      <c r="M137" s="45"/>
      <c r="N137" s="45"/>
      <c r="O137" s="45"/>
      <c r="P137" s="45"/>
      <c r="Q137" s="45"/>
      <c r="R137" s="45"/>
      <c r="S137" s="117"/>
      <c r="T137" s="117"/>
      <c r="U137" s="74"/>
      <c r="V137" s="74"/>
      <c r="W137" s="74"/>
      <c r="X137" s="74"/>
      <c r="Y137" s="74"/>
      <c r="Z137" s="74"/>
      <c r="AA137" s="74"/>
      <c r="AB137" s="74"/>
      <c r="AC137" s="117"/>
      <c r="AD137" s="117"/>
      <c r="AE137" s="117"/>
      <c r="AF137" s="117"/>
      <c r="AG137" s="117"/>
      <c r="AH137" s="117"/>
      <c r="AI137" s="117"/>
      <c r="AJ137" s="117"/>
      <c r="AK137" s="117"/>
      <c r="AL137" s="117"/>
      <c r="AM137" s="117"/>
      <c r="AN137" s="117"/>
      <c r="AO137" s="117"/>
      <c r="AP137" s="117"/>
      <c r="AQ137" s="117"/>
      <c r="AR137" s="300"/>
      <c r="AS137" s="300"/>
      <c r="AT137" s="86"/>
      <c r="AU137" s="162"/>
      <c r="AV137" s="162"/>
      <c r="AW137" s="162"/>
      <c r="AX137" s="162"/>
      <c r="AY137" s="162"/>
      <c r="BB137" s="45"/>
      <c r="BC137" s="45"/>
      <c r="BD137" s="117"/>
      <c r="BE137" s="117"/>
      <c r="BF137" s="99"/>
      <c r="BG137" s="99"/>
      <c r="BH137" s="74"/>
      <c r="BI137" s="117"/>
      <c r="BJ137" s="117"/>
      <c r="BK137" s="117"/>
      <c r="BL137" s="117"/>
      <c r="BM137" s="117"/>
      <c r="BN137" s="117"/>
      <c r="BO137" s="117"/>
      <c r="BP137" s="117"/>
      <c r="BQ137" s="117"/>
      <c r="BR137" s="117"/>
      <c r="BS137" s="117"/>
      <c r="BT137" s="117"/>
      <c r="BU137" s="117"/>
      <c r="BV137" s="117"/>
      <c r="BW137" s="117"/>
      <c r="BX137" s="102"/>
      <c r="BY137" s="102"/>
      <c r="BZ137" s="102"/>
      <c r="CD137" s="102"/>
      <c r="CE137" s="102"/>
      <c r="CG137" s="86"/>
      <c r="CH137" s="86"/>
      <c r="CI137" s="86"/>
      <c r="CJ137" s="86"/>
      <c r="CL137" s="63"/>
      <c r="CM137" s="54"/>
      <c r="CN137" s="152"/>
      <c r="CO137" s="54"/>
      <c r="CP137" s="54"/>
      <c r="CQ137" s="86"/>
      <c r="CR137" s="63"/>
      <c r="CS137" s="63"/>
      <c r="CT137" s="63"/>
      <c r="CU137" s="63"/>
      <c r="CV137" s="86"/>
      <c r="CW137" s="86"/>
      <c r="CX137" s="86"/>
      <c r="DF137" s="54"/>
      <c r="DG137" s="54"/>
      <c r="DH137" s="63"/>
      <c r="DI137" s="63"/>
      <c r="DJ137" s="63"/>
      <c r="DK137" s="63"/>
      <c r="DL137" s="63"/>
      <c r="DN137" s="86"/>
      <c r="DO137" s="86"/>
      <c r="DP137" s="86"/>
      <c r="DR137" s="63"/>
      <c r="DW137" s="54"/>
      <c r="DX137" s="54"/>
      <c r="DY137" s="63"/>
      <c r="DZ137" s="63"/>
      <c r="EA137" s="63"/>
      <c r="EB137" s="63"/>
      <c r="EC137" s="63"/>
      <c r="EE137" s="86"/>
      <c r="EF137" s="86"/>
      <c r="EG137" s="86"/>
      <c r="EI137" s="63"/>
      <c r="EN137" s="54"/>
      <c r="EQ137" s="86"/>
      <c r="ER137" s="86"/>
      <c r="EX137" s="54"/>
      <c r="FG137" s="86"/>
      <c r="FH137" s="253"/>
      <c r="FL137" s="45"/>
      <c r="FT137" s="63"/>
      <c r="FU137" s="54"/>
      <c r="FV137" s="54"/>
      <c r="FW137" s="54"/>
      <c r="FX137" s="86"/>
      <c r="FY137" s="86"/>
      <c r="FZ137" s="102"/>
      <c r="GA137" s="86"/>
      <c r="GB137" s="86"/>
      <c r="GD137" s="63"/>
      <c r="GE137" s="63"/>
      <c r="GF137" s="63"/>
      <c r="GG137" s="63"/>
      <c r="GH137" s="45"/>
      <c r="GI137" s="54"/>
      <c r="GJ137" s="54"/>
      <c r="GL137" s="86"/>
      <c r="GR137" s="86"/>
      <c r="GS137" s="86"/>
      <c r="GU137" s="63"/>
      <c r="GV137" s="63"/>
      <c r="GW137" s="63"/>
      <c r="GX137" s="63"/>
      <c r="GZ137" s="63"/>
      <c r="HA137" s="54"/>
      <c r="HD137" s="86"/>
      <c r="HI137" s="86"/>
      <c r="HJ137" s="86"/>
      <c r="HQ137" s="63"/>
      <c r="HR137" s="54"/>
      <c r="HU137" s="86"/>
      <c r="HZ137" s="86"/>
      <c r="IA137" s="86"/>
      <c r="IF137" s="54"/>
      <c r="IH137" s="89"/>
      <c r="IK137" s="86"/>
    </row>
    <row r="138" spans="1:265">
      <c r="A138" s="86">
        <v>108</v>
      </c>
      <c r="B138" s="117"/>
      <c r="C138" s="117"/>
      <c r="D138" s="117"/>
      <c r="E138" s="117"/>
      <c r="K138" s="117"/>
      <c r="L138" s="45"/>
      <c r="M138" s="45"/>
      <c r="N138" s="45"/>
      <c r="O138" s="45"/>
      <c r="P138" s="45"/>
      <c r="Q138" s="45"/>
      <c r="R138" s="45"/>
      <c r="S138" s="117"/>
      <c r="T138" s="117"/>
      <c r="U138" s="74"/>
      <c r="V138" s="74"/>
      <c r="W138" s="74"/>
      <c r="X138" s="74"/>
      <c r="Y138" s="74"/>
      <c r="Z138" s="74"/>
      <c r="AA138" s="74"/>
      <c r="AB138" s="74"/>
      <c r="AC138" s="117"/>
      <c r="AD138" s="117"/>
      <c r="AE138" s="117"/>
      <c r="AF138" s="117"/>
      <c r="AG138" s="117"/>
      <c r="AH138" s="117"/>
      <c r="AI138" s="117"/>
      <c r="AJ138" s="117"/>
      <c r="AK138" s="117"/>
      <c r="AL138" s="117"/>
      <c r="AM138" s="117"/>
      <c r="AN138" s="117"/>
      <c r="AO138" s="117"/>
      <c r="AP138" s="117"/>
      <c r="AQ138" s="117"/>
      <c r="AR138" s="300"/>
      <c r="AS138" s="300"/>
      <c r="AT138" s="86"/>
      <c r="AU138" s="162"/>
      <c r="AV138" s="162"/>
      <c r="AW138" s="162"/>
      <c r="AX138" s="162"/>
      <c r="AY138" s="162"/>
      <c r="BB138" s="45"/>
      <c r="BC138" s="45"/>
      <c r="BD138" s="117"/>
      <c r="BE138" s="117"/>
      <c r="BF138" s="99"/>
      <c r="BG138" s="99"/>
      <c r="BH138" s="74"/>
      <c r="BI138" s="117"/>
      <c r="BJ138" s="117"/>
      <c r="BK138" s="117"/>
      <c r="BL138" s="117"/>
      <c r="BM138" s="117"/>
      <c r="BN138" s="117"/>
      <c r="BO138" s="117"/>
      <c r="BP138" s="117"/>
      <c r="BQ138" s="117"/>
      <c r="BR138" s="117"/>
      <c r="BS138" s="117"/>
      <c r="BT138" s="117"/>
      <c r="BU138" s="117"/>
      <c r="BV138" s="117"/>
      <c r="BW138" s="117"/>
      <c r="BX138" s="102"/>
      <c r="BY138" s="102"/>
      <c r="BZ138" s="102"/>
      <c r="CD138" s="102"/>
      <c r="CE138" s="102"/>
      <c r="CG138" s="86"/>
      <c r="CH138" s="86"/>
      <c r="CI138" s="86"/>
      <c r="CJ138" s="86"/>
      <c r="CL138" s="63"/>
      <c r="CM138" s="54"/>
      <c r="CN138" s="152"/>
      <c r="CO138" s="54"/>
      <c r="CP138" s="54"/>
      <c r="CQ138" s="86"/>
      <c r="CR138" s="63"/>
      <c r="CS138" s="63"/>
      <c r="CT138" s="63"/>
      <c r="CU138" s="63"/>
      <c r="CV138" s="86"/>
      <c r="CW138" s="86"/>
      <c r="CX138" s="86"/>
      <c r="DF138" s="54"/>
      <c r="DG138" s="54"/>
      <c r="DH138" s="63"/>
      <c r="DI138" s="63"/>
      <c r="DJ138" s="63"/>
      <c r="DK138" s="63"/>
      <c r="DL138" s="63"/>
      <c r="DN138" s="86"/>
      <c r="DO138" s="86"/>
      <c r="DP138" s="86"/>
      <c r="DR138" s="63"/>
      <c r="DW138" s="54"/>
      <c r="DX138" s="54"/>
      <c r="DY138" s="63"/>
      <c r="DZ138" s="63"/>
      <c r="EA138" s="63"/>
      <c r="EB138" s="63"/>
      <c r="EC138" s="63"/>
      <c r="EE138" s="86"/>
      <c r="EF138" s="86"/>
      <c r="EG138" s="86"/>
      <c r="EI138" s="63"/>
      <c r="EN138" s="54"/>
      <c r="EQ138" s="86"/>
      <c r="ER138" s="86"/>
      <c r="EX138" s="54"/>
      <c r="FG138" s="86"/>
      <c r="FL138" s="45"/>
      <c r="FT138" s="63"/>
      <c r="FU138" s="54"/>
      <c r="FV138" s="54"/>
      <c r="FW138" s="54"/>
      <c r="FX138" s="86"/>
      <c r="FY138" s="86"/>
      <c r="FZ138" s="102"/>
      <c r="GA138" s="86"/>
      <c r="GB138" s="86"/>
      <c r="GD138" s="63"/>
      <c r="GE138" s="63"/>
      <c r="GF138" s="63"/>
      <c r="GG138" s="63"/>
      <c r="GH138" s="45"/>
      <c r="GI138" s="54"/>
      <c r="GJ138" s="54"/>
      <c r="GL138" s="86"/>
      <c r="GR138" s="86"/>
      <c r="GS138" s="86"/>
      <c r="GU138" s="63"/>
      <c r="GV138" s="63"/>
      <c r="GW138" s="63"/>
      <c r="GX138" s="63"/>
      <c r="GZ138" s="63"/>
      <c r="HA138" s="54"/>
      <c r="HD138" s="86"/>
      <c r="HI138" s="86"/>
      <c r="HJ138" s="86"/>
      <c r="HQ138" s="63"/>
      <c r="HR138" s="54"/>
      <c r="HU138" s="86"/>
      <c r="HZ138" s="86"/>
      <c r="IA138" s="86"/>
      <c r="IF138" s="54"/>
      <c r="IH138" s="89"/>
      <c r="IK138" s="86"/>
    </row>
    <row r="139" spans="1:265">
      <c r="A139" s="86">
        <v>109</v>
      </c>
      <c r="B139" s="117"/>
      <c r="C139" s="117"/>
      <c r="D139" s="117"/>
      <c r="E139" s="117"/>
      <c r="K139" s="117"/>
      <c r="L139" s="45"/>
      <c r="M139" s="45"/>
      <c r="N139" s="45"/>
      <c r="O139" s="45"/>
      <c r="P139" s="45"/>
      <c r="Q139" s="45"/>
      <c r="R139" s="45"/>
      <c r="S139" s="117"/>
      <c r="T139" s="117"/>
      <c r="U139" s="74"/>
      <c r="V139" s="74"/>
      <c r="W139" s="74"/>
      <c r="X139" s="74"/>
      <c r="Y139" s="74"/>
      <c r="Z139" s="74"/>
      <c r="AA139" s="74"/>
      <c r="AB139" s="74"/>
      <c r="AC139" s="117"/>
      <c r="AD139" s="117"/>
      <c r="AE139" s="117"/>
      <c r="AF139" s="117"/>
      <c r="AG139" s="117"/>
      <c r="AH139" s="117"/>
      <c r="AI139" s="117"/>
      <c r="AJ139" s="117"/>
      <c r="AK139" s="117"/>
      <c r="AL139" s="117"/>
      <c r="AM139" s="117"/>
      <c r="AN139" s="117"/>
      <c r="AO139" s="117"/>
      <c r="AP139" s="117"/>
      <c r="AQ139" s="117"/>
      <c r="AR139" s="300"/>
      <c r="AS139" s="300"/>
      <c r="AT139" s="86"/>
      <c r="AU139" s="162"/>
      <c r="AV139" s="162"/>
      <c r="AW139" s="162"/>
      <c r="AX139" s="162"/>
      <c r="AY139" s="162"/>
      <c r="BB139" s="45"/>
      <c r="BC139" s="45"/>
      <c r="BD139" s="117"/>
      <c r="BE139" s="117"/>
      <c r="BF139" s="99"/>
      <c r="BG139" s="99"/>
      <c r="BH139" s="74"/>
      <c r="BI139" s="117"/>
      <c r="BJ139" s="117"/>
      <c r="BK139" s="117"/>
      <c r="BL139" s="117"/>
      <c r="BM139" s="117"/>
      <c r="BN139" s="117"/>
      <c r="BO139" s="117"/>
      <c r="BP139" s="117"/>
      <c r="BQ139" s="117"/>
      <c r="BR139" s="117"/>
      <c r="BS139" s="117"/>
      <c r="BT139" s="117"/>
      <c r="BU139" s="117"/>
      <c r="BV139" s="117"/>
      <c r="BW139" s="117"/>
      <c r="BX139" s="102"/>
      <c r="BY139" s="102"/>
      <c r="BZ139" s="102"/>
      <c r="CD139" s="102"/>
      <c r="CE139" s="102"/>
      <c r="CG139" s="86"/>
      <c r="CH139" s="86"/>
      <c r="CI139" s="86"/>
      <c r="CJ139" s="86"/>
      <c r="CL139" s="63"/>
      <c r="CM139" s="54"/>
      <c r="CN139" s="152"/>
      <c r="CO139" s="54"/>
      <c r="CP139" s="54"/>
      <c r="CQ139" s="86"/>
      <c r="CR139" s="63"/>
      <c r="CS139" s="63"/>
      <c r="CT139" s="63"/>
      <c r="CU139" s="63"/>
      <c r="CV139" s="86"/>
      <c r="CW139" s="86"/>
      <c r="CX139" s="86"/>
      <c r="DF139" s="54"/>
      <c r="DG139" s="54"/>
      <c r="DH139" s="63"/>
      <c r="DI139" s="63"/>
      <c r="DJ139" s="63"/>
      <c r="DK139" s="63"/>
      <c r="DL139" s="63"/>
      <c r="DN139" s="86"/>
      <c r="DO139" s="86"/>
      <c r="DP139" s="86"/>
      <c r="DR139" s="63"/>
      <c r="DW139" s="54"/>
      <c r="DX139" s="54"/>
      <c r="DY139" s="63"/>
      <c r="DZ139" s="63"/>
      <c r="EA139" s="63"/>
      <c r="EB139" s="63"/>
      <c r="EC139" s="63"/>
      <c r="EE139" s="86"/>
      <c r="EF139" s="86"/>
      <c r="EG139" s="86"/>
      <c r="EI139" s="63"/>
      <c r="EN139" s="54"/>
      <c r="EQ139" s="86"/>
      <c r="ER139" s="86"/>
      <c r="EX139" s="54"/>
      <c r="FG139" s="86"/>
      <c r="FL139" s="45"/>
      <c r="FT139" s="63"/>
      <c r="FU139" s="54"/>
      <c r="FV139" s="54"/>
      <c r="FW139" s="54"/>
      <c r="FX139" s="86"/>
      <c r="FY139" s="86"/>
      <c r="FZ139" s="102"/>
      <c r="GA139" s="86"/>
      <c r="GB139" s="86"/>
      <c r="GD139" s="63"/>
      <c r="GE139" s="63"/>
      <c r="GF139" s="63"/>
      <c r="GG139" s="63"/>
      <c r="GH139" s="45"/>
      <c r="GI139" s="54"/>
      <c r="GJ139" s="54"/>
      <c r="GL139" s="86"/>
      <c r="GR139" s="86"/>
      <c r="GS139" s="86"/>
      <c r="GU139" s="63"/>
      <c r="GV139" s="63"/>
      <c r="GW139" s="63"/>
      <c r="GX139" s="63"/>
      <c r="GZ139" s="63"/>
      <c r="HA139" s="54"/>
      <c r="HD139" s="86"/>
      <c r="HI139" s="86"/>
      <c r="HJ139" s="86"/>
      <c r="HQ139" s="63"/>
      <c r="HR139" s="54"/>
      <c r="HU139" s="86"/>
      <c r="HZ139" s="86"/>
      <c r="IA139" s="86"/>
      <c r="IF139" s="54"/>
      <c r="IH139" s="89"/>
      <c r="IK139" s="86"/>
    </row>
    <row r="140" spans="1:265">
      <c r="A140" s="86">
        <v>110</v>
      </c>
      <c r="B140" s="117"/>
      <c r="C140" s="117"/>
      <c r="D140" s="117"/>
      <c r="E140" s="117"/>
      <c r="K140" s="117"/>
      <c r="L140" s="45"/>
      <c r="M140" s="45"/>
      <c r="N140" s="45"/>
      <c r="O140" s="45"/>
      <c r="P140" s="45"/>
      <c r="Q140" s="45"/>
      <c r="R140" s="45"/>
      <c r="S140" s="117"/>
      <c r="T140" s="117"/>
      <c r="U140" s="74"/>
      <c r="V140" s="74"/>
      <c r="W140" s="74"/>
      <c r="X140" s="74"/>
      <c r="Y140" s="74"/>
      <c r="Z140" s="74"/>
      <c r="AA140" s="74"/>
      <c r="AB140" s="74"/>
      <c r="AC140" s="117"/>
      <c r="AD140" s="117"/>
      <c r="AE140" s="117"/>
      <c r="AF140" s="117"/>
      <c r="AG140" s="117"/>
      <c r="AH140" s="117"/>
      <c r="AI140" s="117"/>
      <c r="AJ140" s="117"/>
      <c r="AK140" s="117"/>
      <c r="AL140" s="117"/>
      <c r="AM140" s="117"/>
      <c r="AN140" s="117"/>
      <c r="AO140" s="117"/>
      <c r="AP140" s="117"/>
      <c r="AQ140" s="117"/>
      <c r="AR140" s="300"/>
      <c r="AS140" s="300"/>
      <c r="AT140" s="86"/>
      <c r="AU140" s="162"/>
      <c r="AV140" s="162"/>
      <c r="AW140" s="162"/>
      <c r="AX140" s="162"/>
      <c r="AY140" s="162"/>
      <c r="BB140" s="45"/>
      <c r="BC140" s="45"/>
      <c r="BD140" s="117"/>
      <c r="BE140" s="117"/>
      <c r="BF140" s="99"/>
      <c r="BG140" s="99"/>
      <c r="BH140" s="74"/>
      <c r="BI140" s="117"/>
      <c r="BJ140" s="117"/>
      <c r="BK140" s="117"/>
      <c r="BL140" s="117"/>
      <c r="BM140" s="117"/>
      <c r="BN140" s="117"/>
      <c r="BO140" s="117"/>
      <c r="BP140" s="117"/>
      <c r="BQ140" s="117"/>
      <c r="BR140" s="117"/>
      <c r="BS140" s="117"/>
      <c r="BT140" s="117"/>
      <c r="BU140" s="117"/>
      <c r="BV140" s="117"/>
      <c r="BW140" s="117"/>
      <c r="BX140" s="102"/>
      <c r="BY140" s="102"/>
      <c r="BZ140" s="102"/>
      <c r="CD140" s="102"/>
      <c r="CE140" s="102"/>
      <c r="CG140" s="86"/>
      <c r="CH140" s="86"/>
      <c r="CI140" s="86"/>
      <c r="CJ140" s="86"/>
      <c r="CL140" s="63"/>
      <c r="CM140" s="54"/>
      <c r="CN140" s="152"/>
      <c r="CO140" s="54"/>
      <c r="CP140" s="54"/>
      <c r="CQ140" s="86"/>
      <c r="CR140" s="63"/>
      <c r="CS140" s="63"/>
      <c r="CT140" s="63"/>
      <c r="CU140" s="63"/>
      <c r="CV140" s="86"/>
      <c r="CW140" s="86"/>
      <c r="CX140" s="86"/>
      <c r="DF140" s="54"/>
      <c r="DG140" s="54"/>
      <c r="DH140" s="63"/>
      <c r="DI140" s="63"/>
      <c r="DJ140" s="63"/>
      <c r="DK140" s="63"/>
      <c r="DL140" s="63"/>
      <c r="DN140" s="86"/>
      <c r="DO140" s="86"/>
      <c r="DP140" s="86"/>
      <c r="DR140" s="63"/>
      <c r="DW140" s="54"/>
      <c r="DX140" s="54"/>
      <c r="DY140" s="63"/>
      <c r="DZ140" s="63"/>
      <c r="EA140" s="63"/>
      <c r="EB140" s="63"/>
      <c r="EC140" s="63"/>
      <c r="EE140" s="86"/>
      <c r="EF140" s="86"/>
      <c r="EG140" s="86"/>
      <c r="EI140" s="63"/>
      <c r="EN140" s="54"/>
      <c r="EQ140" s="86"/>
      <c r="ER140" s="86"/>
      <c r="EX140" s="54"/>
      <c r="FG140" s="86"/>
      <c r="FL140" s="45"/>
      <c r="FT140" s="63"/>
      <c r="FU140" s="54"/>
      <c r="FV140" s="54"/>
      <c r="FW140" s="54"/>
      <c r="FX140" s="86"/>
      <c r="FY140" s="86"/>
      <c r="FZ140" s="102"/>
      <c r="GA140" s="86"/>
      <c r="GB140" s="86"/>
      <c r="GD140" s="63"/>
      <c r="GE140" s="63"/>
      <c r="GF140" s="63"/>
      <c r="GG140" s="63"/>
      <c r="GH140" s="45"/>
      <c r="GI140" s="54"/>
      <c r="GJ140" s="54"/>
      <c r="GL140" s="86"/>
      <c r="GR140" s="86"/>
      <c r="GS140" s="86"/>
      <c r="GU140" s="63"/>
      <c r="GV140" s="63"/>
      <c r="GW140" s="63"/>
      <c r="GX140" s="63"/>
      <c r="GZ140" s="63"/>
      <c r="HA140" s="54"/>
      <c r="HD140" s="86"/>
      <c r="HI140" s="86"/>
      <c r="HJ140" s="86"/>
      <c r="HQ140" s="63"/>
      <c r="HR140" s="54"/>
      <c r="HU140" s="86"/>
      <c r="HZ140" s="86"/>
      <c r="IA140" s="86"/>
      <c r="IF140" s="54"/>
      <c r="IH140" s="89"/>
      <c r="IK140" s="86"/>
    </row>
    <row r="141" spans="1:265">
      <c r="A141" s="86">
        <v>111</v>
      </c>
      <c r="B141" s="117"/>
      <c r="C141" s="117"/>
      <c r="D141" s="117"/>
      <c r="E141" s="117"/>
      <c r="K141" s="117"/>
      <c r="L141" s="45"/>
      <c r="M141" s="45"/>
      <c r="N141" s="45"/>
      <c r="O141" s="45"/>
      <c r="P141" s="45"/>
      <c r="Q141" s="45"/>
      <c r="R141" s="45"/>
      <c r="S141" s="117"/>
      <c r="T141" s="117"/>
      <c r="U141" s="74"/>
      <c r="V141" s="74"/>
      <c r="W141" s="74"/>
      <c r="X141" s="74"/>
      <c r="Y141" s="74"/>
      <c r="Z141" s="74"/>
      <c r="AA141" s="74"/>
      <c r="AB141" s="74"/>
      <c r="AC141" s="117"/>
      <c r="AD141" s="117"/>
      <c r="AE141" s="117"/>
      <c r="AF141" s="117"/>
      <c r="AG141" s="117"/>
      <c r="AH141" s="117"/>
      <c r="AI141" s="117"/>
      <c r="AJ141" s="117"/>
      <c r="AK141" s="117"/>
      <c r="AL141" s="117"/>
      <c r="AM141" s="117"/>
      <c r="AN141" s="117"/>
      <c r="AO141" s="117"/>
      <c r="AP141" s="117"/>
      <c r="AQ141" s="117"/>
      <c r="AR141" s="300"/>
      <c r="AS141" s="300"/>
      <c r="AT141" s="86"/>
      <c r="AU141" s="162"/>
      <c r="AV141" s="162"/>
      <c r="AW141" s="162"/>
      <c r="AX141" s="162"/>
      <c r="AY141" s="162"/>
      <c r="BB141" s="45"/>
      <c r="BC141" s="45"/>
      <c r="BD141" s="117"/>
      <c r="BE141" s="117"/>
      <c r="BF141" s="99"/>
      <c r="BG141" s="99"/>
      <c r="BH141" s="74"/>
      <c r="BI141" s="117"/>
      <c r="BJ141" s="117"/>
      <c r="BK141" s="117"/>
      <c r="BL141" s="117"/>
      <c r="BM141" s="117"/>
      <c r="BN141" s="117"/>
      <c r="BO141" s="117"/>
      <c r="BP141" s="117"/>
      <c r="BQ141" s="117"/>
      <c r="BR141" s="117"/>
      <c r="BS141" s="117"/>
      <c r="BT141" s="117"/>
      <c r="BU141" s="117"/>
      <c r="BV141" s="117"/>
      <c r="BW141" s="117"/>
      <c r="BX141" s="102"/>
      <c r="BY141" s="102"/>
      <c r="BZ141" s="102"/>
      <c r="CD141" s="102"/>
      <c r="CE141" s="102"/>
      <c r="CG141" s="86"/>
      <c r="CH141" s="86"/>
      <c r="CI141" s="86"/>
      <c r="CJ141" s="86"/>
      <c r="CL141" s="63"/>
      <c r="CM141" s="54"/>
      <c r="CN141" s="152"/>
      <c r="CO141" s="54"/>
      <c r="CP141" s="54"/>
      <c r="CQ141" s="86"/>
      <c r="CR141" s="63"/>
      <c r="CS141" s="63"/>
      <c r="CT141" s="63"/>
      <c r="CU141" s="63"/>
      <c r="CV141" s="86"/>
      <c r="CW141" s="86"/>
      <c r="CX141" s="86"/>
      <c r="DF141" s="54"/>
      <c r="DG141" s="54"/>
      <c r="DH141" s="63"/>
      <c r="DI141" s="63"/>
      <c r="DJ141" s="63"/>
      <c r="DK141" s="63"/>
      <c r="DL141" s="63"/>
      <c r="DN141" s="86"/>
      <c r="DO141" s="86"/>
      <c r="DP141" s="86"/>
      <c r="DR141" s="63"/>
      <c r="DW141" s="54"/>
      <c r="DX141" s="54"/>
      <c r="DY141" s="63"/>
      <c r="DZ141" s="63"/>
      <c r="EA141" s="63"/>
      <c r="EB141" s="63"/>
      <c r="EC141" s="63"/>
      <c r="EE141" s="86"/>
      <c r="EF141" s="86"/>
      <c r="EG141" s="86"/>
      <c r="EI141" s="63"/>
      <c r="EN141" s="54"/>
      <c r="EQ141" s="86"/>
      <c r="ER141" s="86"/>
      <c r="EX141" s="54"/>
      <c r="FG141" s="86"/>
      <c r="FL141" s="45"/>
      <c r="FT141" s="63"/>
      <c r="FU141" s="54"/>
      <c r="FV141" s="54"/>
      <c r="FW141" s="54"/>
      <c r="FX141" s="86"/>
      <c r="FY141" s="86"/>
      <c r="FZ141" s="102"/>
      <c r="GA141" s="86"/>
      <c r="GB141" s="86"/>
      <c r="GD141" s="63"/>
      <c r="GE141" s="63"/>
      <c r="GF141" s="63"/>
      <c r="GG141" s="63"/>
      <c r="GH141" s="45"/>
      <c r="GI141" s="54"/>
      <c r="GJ141" s="54"/>
      <c r="GL141" s="86"/>
      <c r="GR141" s="86"/>
      <c r="GS141" s="86"/>
      <c r="GU141" s="63"/>
      <c r="GV141" s="63"/>
      <c r="GW141" s="63"/>
      <c r="GX141" s="63"/>
      <c r="GZ141" s="63"/>
      <c r="HA141" s="54"/>
      <c r="HD141" s="86"/>
      <c r="HI141" s="86"/>
      <c r="HJ141" s="86"/>
      <c r="HQ141" s="63"/>
      <c r="HR141" s="54"/>
      <c r="HU141" s="86"/>
      <c r="HZ141" s="86"/>
      <c r="IA141" s="86"/>
      <c r="IF141" s="54"/>
      <c r="IH141" s="89"/>
      <c r="IK141" s="86"/>
    </row>
    <row r="142" spans="1:265">
      <c r="A142" s="86">
        <v>112</v>
      </c>
      <c r="B142" s="117"/>
      <c r="C142" s="117"/>
      <c r="D142" s="117"/>
      <c r="E142" s="117"/>
      <c r="K142" s="117"/>
      <c r="L142" s="45"/>
      <c r="M142" s="45"/>
      <c r="N142" s="45"/>
      <c r="O142" s="45"/>
      <c r="P142" s="45"/>
      <c r="Q142" s="45"/>
      <c r="R142" s="45"/>
      <c r="S142" s="117"/>
      <c r="T142" s="117"/>
      <c r="U142" s="74"/>
      <c r="V142" s="74"/>
      <c r="W142" s="74"/>
      <c r="X142" s="74"/>
      <c r="Y142" s="74"/>
      <c r="Z142" s="74"/>
      <c r="AA142" s="74"/>
      <c r="AB142" s="74"/>
      <c r="AC142" s="117"/>
      <c r="AD142" s="117"/>
      <c r="AE142" s="117"/>
      <c r="AF142" s="117"/>
      <c r="AG142" s="117"/>
      <c r="AH142" s="117"/>
      <c r="AI142" s="117"/>
      <c r="AJ142" s="117"/>
      <c r="AK142" s="117"/>
      <c r="AL142" s="117"/>
      <c r="AM142" s="117"/>
      <c r="AN142" s="117"/>
      <c r="AO142" s="117"/>
      <c r="AP142" s="117"/>
      <c r="AQ142" s="117"/>
      <c r="AR142" s="300"/>
      <c r="AS142" s="300"/>
      <c r="AT142" s="86"/>
      <c r="AU142" s="162"/>
      <c r="AV142" s="162"/>
      <c r="AW142" s="162"/>
      <c r="AX142" s="162"/>
      <c r="AY142" s="162"/>
      <c r="BB142" s="45"/>
      <c r="BC142" s="45"/>
      <c r="BD142" s="117"/>
      <c r="BE142" s="117"/>
      <c r="BF142" s="99"/>
      <c r="BG142" s="99"/>
      <c r="BH142" s="74"/>
      <c r="BI142" s="117"/>
      <c r="BJ142" s="117"/>
      <c r="BK142" s="117"/>
      <c r="BL142" s="117"/>
      <c r="BM142" s="117"/>
      <c r="BN142" s="117"/>
      <c r="BO142" s="117"/>
      <c r="BP142" s="117"/>
      <c r="BQ142" s="117"/>
      <c r="BR142" s="117"/>
      <c r="BS142" s="117"/>
      <c r="BT142" s="117"/>
      <c r="BU142" s="117"/>
      <c r="BV142" s="117"/>
      <c r="BW142" s="117"/>
      <c r="BX142" s="102"/>
      <c r="BY142" s="102"/>
      <c r="BZ142" s="102"/>
      <c r="CD142" s="102"/>
      <c r="CE142" s="102"/>
      <c r="CG142" s="86"/>
      <c r="CH142" s="86"/>
      <c r="CI142" s="86"/>
      <c r="CJ142" s="86"/>
      <c r="CL142" s="63"/>
      <c r="CM142" s="54"/>
      <c r="CN142" s="152"/>
      <c r="CO142" s="54"/>
      <c r="CP142" s="54"/>
      <c r="CQ142" s="86"/>
      <c r="CR142" s="63"/>
      <c r="CS142" s="63"/>
      <c r="CT142" s="63"/>
      <c r="CU142" s="63"/>
      <c r="CV142" s="86"/>
      <c r="CW142" s="86"/>
      <c r="CX142" s="86"/>
      <c r="DF142" s="54"/>
      <c r="DG142" s="54"/>
      <c r="DH142" s="63"/>
      <c r="DI142" s="63"/>
      <c r="DJ142" s="63"/>
      <c r="DK142" s="63"/>
      <c r="DL142" s="63"/>
      <c r="DN142" s="86"/>
      <c r="DO142" s="86"/>
      <c r="DP142" s="86"/>
      <c r="DR142" s="63"/>
      <c r="DW142" s="54"/>
      <c r="DX142" s="54"/>
      <c r="DY142" s="63"/>
      <c r="DZ142" s="63"/>
      <c r="EA142" s="63"/>
      <c r="EB142" s="63"/>
      <c r="EC142" s="63"/>
      <c r="EE142" s="86"/>
      <c r="EF142" s="86"/>
      <c r="EG142" s="86"/>
      <c r="EI142" s="63"/>
      <c r="EN142" s="54"/>
      <c r="EQ142" s="86"/>
      <c r="ER142" s="86"/>
      <c r="EX142" s="54"/>
      <c r="FG142" s="86"/>
      <c r="FL142" s="45"/>
      <c r="FT142" s="63"/>
      <c r="FU142" s="54"/>
      <c r="FV142" s="54"/>
      <c r="FW142" s="54"/>
      <c r="FX142" s="86"/>
      <c r="FY142" s="86"/>
      <c r="FZ142" s="102"/>
      <c r="GA142" s="86"/>
      <c r="GB142" s="86"/>
      <c r="GD142" s="63"/>
      <c r="GE142" s="63"/>
      <c r="GF142" s="63"/>
      <c r="GG142" s="63"/>
      <c r="GH142" s="45"/>
      <c r="GI142" s="54"/>
      <c r="GJ142" s="54"/>
      <c r="GL142" s="86"/>
      <c r="GR142" s="86"/>
      <c r="GS142" s="86"/>
      <c r="GU142" s="63"/>
      <c r="GV142" s="63"/>
      <c r="GW142" s="63"/>
      <c r="GX142" s="63"/>
      <c r="GZ142" s="63"/>
      <c r="HA142" s="54"/>
      <c r="HD142" s="86"/>
      <c r="HI142" s="86"/>
      <c r="HJ142" s="86"/>
      <c r="HQ142" s="63"/>
      <c r="HR142" s="54"/>
      <c r="HU142" s="86"/>
      <c r="HZ142" s="86"/>
      <c r="IA142" s="86"/>
      <c r="IF142" s="54"/>
      <c r="IH142" s="89"/>
      <c r="IK142" s="86"/>
    </row>
    <row r="143" spans="1:265">
      <c r="A143" s="86">
        <v>113</v>
      </c>
      <c r="B143" s="117"/>
      <c r="C143" s="117"/>
      <c r="D143" s="117"/>
      <c r="E143" s="117"/>
      <c r="K143" s="117"/>
      <c r="L143" s="45"/>
      <c r="M143" s="45"/>
      <c r="N143" s="45"/>
      <c r="O143" s="45"/>
      <c r="P143" s="45"/>
      <c r="Q143" s="45"/>
      <c r="R143" s="45"/>
      <c r="S143" s="117"/>
      <c r="T143" s="117"/>
      <c r="U143" s="74"/>
      <c r="V143" s="74"/>
      <c r="W143" s="74"/>
      <c r="X143" s="74"/>
      <c r="Y143" s="74"/>
      <c r="Z143" s="74"/>
      <c r="AA143" s="74"/>
      <c r="AB143" s="74"/>
      <c r="AC143" s="117"/>
      <c r="AD143" s="117"/>
      <c r="AE143" s="117"/>
      <c r="AF143" s="117"/>
      <c r="AG143" s="117"/>
      <c r="AH143" s="117"/>
      <c r="AI143" s="117"/>
      <c r="AJ143" s="117"/>
      <c r="AK143" s="117"/>
      <c r="AL143" s="117"/>
      <c r="AM143" s="117"/>
      <c r="AN143" s="117"/>
      <c r="AO143" s="117"/>
      <c r="AP143" s="117"/>
      <c r="AQ143" s="117"/>
      <c r="AR143" s="300"/>
      <c r="AS143" s="300"/>
      <c r="AT143" s="86"/>
      <c r="AU143" s="162"/>
      <c r="AV143" s="162"/>
      <c r="AW143" s="162"/>
      <c r="AX143" s="162"/>
      <c r="AY143" s="162"/>
      <c r="BB143" s="45"/>
      <c r="BC143" s="45"/>
      <c r="BD143" s="117"/>
      <c r="BE143" s="117"/>
      <c r="BF143" s="99"/>
      <c r="BG143" s="99"/>
      <c r="BH143" s="74"/>
      <c r="BI143" s="117"/>
      <c r="BJ143" s="117"/>
      <c r="BK143" s="117"/>
      <c r="BL143" s="117"/>
      <c r="BM143" s="117"/>
      <c r="BN143" s="117"/>
      <c r="BO143" s="117"/>
      <c r="BP143" s="117"/>
      <c r="BQ143" s="117"/>
      <c r="BR143" s="117"/>
      <c r="BS143" s="117"/>
      <c r="BT143" s="117"/>
      <c r="BU143" s="117"/>
      <c r="BV143" s="117"/>
      <c r="BW143" s="117"/>
      <c r="BX143" s="102"/>
      <c r="BY143" s="102"/>
      <c r="BZ143" s="102"/>
      <c r="CD143" s="102"/>
      <c r="CE143" s="102"/>
      <c r="CG143" s="86"/>
      <c r="CH143" s="86"/>
      <c r="CI143" s="86"/>
      <c r="CJ143" s="86"/>
      <c r="CL143" s="63"/>
      <c r="CM143" s="54"/>
      <c r="CN143" s="152"/>
      <c r="CO143" s="54"/>
      <c r="CP143" s="54"/>
      <c r="CQ143" s="86"/>
      <c r="CR143" s="63"/>
      <c r="CS143" s="63"/>
      <c r="CT143" s="63"/>
      <c r="CU143" s="63"/>
      <c r="CV143" s="86"/>
      <c r="CW143" s="86"/>
      <c r="CX143" s="86"/>
      <c r="DF143" s="54"/>
      <c r="DG143" s="54"/>
      <c r="DH143" s="63"/>
      <c r="DI143" s="63"/>
      <c r="DJ143" s="63"/>
      <c r="DK143" s="63"/>
      <c r="DL143" s="63"/>
      <c r="DN143" s="86"/>
      <c r="DO143" s="86"/>
      <c r="DP143" s="86"/>
      <c r="DR143" s="63"/>
      <c r="DW143" s="54"/>
      <c r="DX143" s="54"/>
      <c r="DY143" s="63"/>
      <c r="DZ143" s="63"/>
      <c r="EA143" s="63"/>
      <c r="EB143" s="63"/>
      <c r="EC143" s="63"/>
      <c r="EE143" s="86"/>
      <c r="EF143" s="86"/>
      <c r="EG143" s="86"/>
      <c r="EI143" s="63"/>
      <c r="EN143" s="54"/>
      <c r="EQ143" s="86"/>
      <c r="ER143" s="86"/>
      <c r="EX143" s="54"/>
      <c r="FG143" s="86"/>
      <c r="FL143" s="45"/>
      <c r="FT143" s="63"/>
      <c r="FU143" s="54"/>
      <c r="FV143" s="54"/>
      <c r="FW143" s="54"/>
      <c r="FX143" s="86"/>
      <c r="FY143" s="86"/>
      <c r="FZ143" s="102"/>
      <c r="GA143" s="86"/>
      <c r="GB143" s="86"/>
      <c r="GD143" s="63"/>
      <c r="GE143" s="63"/>
      <c r="GF143" s="63"/>
      <c r="GG143" s="63"/>
      <c r="GH143" s="45"/>
      <c r="GI143" s="54"/>
      <c r="GJ143" s="54"/>
      <c r="GL143" s="86"/>
      <c r="GR143" s="86"/>
      <c r="GS143" s="86"/>
      <c r="GU143" s="63"/>
      <c r="GV143" s="63"/>
      <c r="GW143" s="63"/>
      <c r="GX143" s="63"/>
      <c r="GZ143" s="63"/>
      <c r="HA143" s="54"/>
      <c r="HD143" s="86"/>
      <c r="HI143" s="86"/>
      <c r="HJ143" s="86"/>
      <c r="HQ143" s="63"/>
      <c r="HR143" s="54"/>
      <c r="HU143" s="86"/>
      <c r="HZ143" s="86"/>
      <c r="IA143" s="86"/>
      <c r="IF143" s="54"/>
      <c r="IH143" s="89"/>
      <c r="IK143" s="86"/>
    </row>
    <row r="144" spans="1:265">
      <c r="A144" s="86">
        <v>114</v>
      </c>
      <c r="B144" s="117"/>
      <c r="C144" s="117"/>
      <c r="D144" s="117"/>
      <c r="E144" s="117"/>
      <c r="K144" s="117"/>
      <c r="L144" s="45"/>
      <c r="M144" s="45"/>
      <c r="N144" s="45"/>
      <c r="O144" s="45"/>
      <c r="P144" s="45"/>
      <c r="Q144" s="45"/>
      <c r="R144" s="45"/>
      <c r="S144" s="117"/>
      <c r="T144" s="117"/>
      <c r="U144" s="74"/>
      <c r="V144" s="74"/>
      <c r="W144" s="74"/>
      <c r="X144" s="74"/>
      <c r="Y144" s="74"/>
      <c r="Z144" s="74"/>
      <c r="AA144" s="74"/>
      <c r="AB144" s="74"/>
      <c r="AC144" s="117"/>
      <c r="AD144" s="117"/>
      <c r="AE144" s="117"/>
      <c r="AF144" s="117"/>
      <c r="AG144" s="117"/>
      <c r="AH144" s="117"/>
      <c r="AI144" s="117"/>
      <c r="AJ144" s="117"/>
      <c r="AK144" s="117"/>
      <c r="AL144" s="117"/>
      <c r="AM144" s="117"/>
      <c r="AN144" s="117"/>
      <c r="AO144" s="117"/>
      <c r="AP144" s="117"/>
      <c r="AQ144" s="117"/>
      <c r="AR144" s="300"/>
      <c r="AS144" s="300"/>
      <c r="AT144" s="86"/>
      <c r="AU144" s="162"/>
      <c r="AV144" s="162"/>
      <c r="AW144" s="162"/>
      <c r="AX144" s="162"/>
      <c r="AY144" s="162"/>
      <c r="BB144" s="45"/>
      <c r="BC144" s="45"/>
      <c r="BD144" s="117"/>
      <c r="BE144" s="117"/>
      <c r="BF144" s="99"/>
      <c r="BG144" s="99"/>
      <c r="BH144" s="74"/>
      <c r="BI144" s="117"/>
      <c r="BJ144" s="117"/>
      <c r="BK144" s="117"/>
      <c r="BL144" s="117"/>
      <c r="BM144" s="117"/>
      <c r="BN144" s="117"/>
      <c r="BO144" s="117"/>
      <c r="BP144" s="117"/>
      <c r="BQ144" s="117"/>
      <c r="BR144" s="117"/>
      <c r="BS144" s="117"/>
      <c r="BT144" s="117"/>
      <c r="BU144" s="117"/>
      <c r="BV144" s="117"/>
      <c r="BW144" s="117"/>
      <c r="BX144" s="102"/>
      <c r="BY144" s="102"/>
      <c r="BZ144" s="102"/>
      <c r="CD144" s="102"/>
      <c r="CE144" s="102"/>
      <c r="CG144" s="86"/>
      <c r="CH144" s="86"/>
      <c r="CI144" s="86"/>
      <c r="CJ144" s="86"/>
      <c r="CL144" s="63"/>
      <c r="CM144" s="54"/>
      <c r="CN144" s="152"/>
      <c r="CO144" s="54"/>
      <c r="CP144" s="54"/>
      <c r="CQ144" s="86"/>
      <c r="CR144" s="63"/>
      <c r="CS144" s="63"/>
      <c r="CT144" s="63"/>
      <c r="CU144" s="63"/>
      <c r="CV144" s="86"/>
      <c r="CW144" s="86"/>
      <c r="CX144" s="86"/>
      <c r="DF144" s="54"/>
      <c r="DG144" s="54"/>
      <c r="DH144" s="63"/>
      <c r="DI144" s="63"/>
      <c r="DJ144" s="63"/>
      <c r="DK144" s="63"/>
      <c r="DL144" s="63"/>
      <c r="DN144" s="86"/>
      <c r="DO144" s="86"/>
      <c r="DP144" s="86"/>
      <c r="DR144" s="63"/>
      <c r="DW144" s="54"/>
      <c r="DX144" s="54"/>
      <c r="DY144" s="63"/>
      <c r="DZ144" s="63"/>
      <c r="EA144" s="63"/>
      <c r="EB144" s="63"/>
      <c r="EC144" s="63"/>
      <c r="EE144" s="86"/>
      <c r="EF144" s="86"/>
      <c r="EG144" s="86"/>
      <c r="EI144" s="63"/>
      <c r="EN144" s="54"/>
      <c r="EQ144" s="86"/>
      <c r="ER144" s="86"/>
      <c r="EX144" s="54"/>
      <c r="FG144" s="86"/>
      <c r="FL144" s="45"/>
      <c r="FT144" s="63"/>
      <c r="FU144" s="54"/>
      <c r="FV144" s="54"/>
      <c r="FW144" s="54"/>
      <c r="FX144" s="86"/>
      <c r="FY144" s="86"/>
      <c r="FZ144" s="102"/>
      <c r="GA144" s="86"/>
      <c r="GB144" s="86"/>
      <c r="GD144" s="63"/>
      <c r="GE144" s="63"/>
      <c r="GF144" s="63"/>
      <c r="GG144" s="63"/>
      <c r="GH144" s="45"/>
      <c r="GI144" s="54"/>
      <c r="GJ144" s="54"/>
      <c r="GL144" s="86"/>
      <c r="GR144" s="86"/>
      <c r="GS144" s="86"/>
      <c r="GU144" s="63"/>
      <c r="GV144" s="63"/>
      <c r="GW144" s="63"/>
      <c r="GX144" s="63"/>
      <c r="GZ144" s="63"/>
      <c r="HA144" s="54"/>
      <c r="HD144" s="86"/>
      <c r="HI144" s="86"/>
      <c r="HJ144" s="86"/>
      <c r="HQ144" s="63"/>
      <c r="HR144" s="54"/>
      <c r="HU144" s="86"/>
      <c r="HZ144" s="86"/>
      <c r="IA144" s="86"/>
      <c r="IF144" s="54"/>
      <c r="IH144" s="89"/>
      <c r="IK144" s="86"/>
    </row>
    <row r="145" spans="1:245">
      <c r="A145" s="86">
        <v>115</v>
      </c>
      <c r="B145" s="117"/>
      <c r="C145" s="117"/>
      <c r="D145" s="117"/>
      <c r="E145" s="117"/>
      <c r="K145" s="117"/>
      <c r="L145" s="45"/>
      <c r="M145" s="45"/>
      <c r="N145" s="45"/>
      <c r="O145" s="45"/>
      <c r="P145" s="45"/>
      <c r="Q145" s="45"/>
      <c r="R145" s="45"/>
      <c r="S145" s="117"/>
      <c r="T145" s="117"/>
      <c r="U145" s="74"/>
      <c r="V145" s="74"/>
      <c r="W145" s="74"/>
      <c r="X145" s="74"/>
      <c r="Y145" s="74"/>
      <c r="Z145" s="74"/>
      <c r="AA145" s="74"/>
      <c r="AB145" s="74"/>
      <c r="AC145" s="117"/>
      <c r="AD145" s="117"/>
      <c r="AE145" s="117"/>
      <c r="AF145" s="117"/>
      <c r="AG145" s="117"/>
      <c r="AH145" s="117"/>
      <c r="AI145" s="117"/>
      <c r="AJ145" s="117"/>
      <c r="AK145" s="117"/>
      <c r="AL145" s="117"/>
      <c r="AM145" s="117"/>
      <c r="AN145" s="117"/>
      <c r="AO145" s="117"/>
      <c r="AP145" s="117"/>
      <c r="AQ145" s="117"/>
      <c r="AR145" s="300"/>
      <c r="AS145" s="300"/>
      <c r="AT145" s="86"/>
      <c r="AU145" s="162"/>
      <c r="AV145" s="162"/>
      <c r="AW145" s="162"/>
      <c r="AX145" s="162"/>
      <c r="AY145" s="162"/>
      <c r="BB145" s="45"/>
      <c r="BC145" s="45"/>
      <c r="BD145" s="117"/>
      <c r="BE145" s="117"/>
      <c r="BF145" s="99"/>
      <c r="BG145" s="99"/>
      <c r="BH145" s="74"/>
      <c r="BI145" s="117"/>
      <c r="BJ145" s="117"/>
      <c r="BK145" s="117"/>
      <c r="BL145" s="117"/>
      <c r="BM145" s="117"/>
      <c r="BN145" s="117"/>
      <c r="BO145" s="117"/>
      <c r="BP145" s="117"/>
      <c r="BQ145" s="117"/>
      <c r="BR145" s="117"/>
      <c r="BS145" s="117"/>
      <c r="BT145" s="117"/>
      <c r="BU145" s="117"/>
      <c r="BV145" s="117"/>
      <c r="BW145" s="117"/>
      <c r="BX145" s="102"/>
      <c r="BY145" s="102"/>
      <c r="BZ145" s="102"/>
      <c r="CD145" s="102"/>
      <c r="CE145" s="102"/>
      <c r="CG145" s="86"/>
      <c r="CH145" s="86"/>
      <c r="CI145" s="86"/>
      <c r="CJ145" s="86"/>
      <c r="CL145" s="63"/>
      <c r="CM145" s="54"/>
      <c r="CN145" s="152"/>
      <c r="CO145" s="54"/>
      <c r="CP145" s="54"/>
      <c r="CQ145" s="86"/>
      <c r="CR145" s="63"/>
      <c r="CS145" s="63"/>
      <c r="CT145" s="63"/>
      <c r="CU145" s="63"/>
      <c r="CV145" s="86"/>
      <c r="CW145" s="86"/>
      <c r="CX145" s="86"/>
      <c r="DF145" s="54"/>
      <c r="DG145" s="54"/>
      <c r="DH145" s="63"/>
      <c r="DI145" s="63"/>
      <c r="DJ145" s="63"/>
      <c r="DK145" s="63"/>
      <c r="DL145" s="63"/>
      <c r="DN145" s="86"/>
      <c r="DO145" s="86"/>
      <c r="DP145" s="86"/>
      <c r="DR145" s="63"/>
      <c r="DW145" s="54"/>
      <c r="DX145" s="54"/>
      <c r="DY145" s="63"/>
      <c r="DZ145" s="63"/>
      <c r="EA145" s="63"/>
      <c r="EB145" s="63"/>
      <c r="EC145" s="63"/>
      <c r="EE145" s="86"/>
      <c r="EF145" s="86"/>
      <c r="EG145" s="86"/>
      <c r="EI145" s="63"/>
      <c r="EN145" s="54"/>
      <c r="EQ145" s="86"/>
      <c r="ER145" s="86"/>
      <c r="EX145" s="54"/>
      <c r="FG145" s="86"/>
      <c r="FL145" s="45"/>
      <c r="FT145" s="63"/>
      <c r="FU145" s="54"/>
      <c r="FV145" s="54"/>
      <c r="FW145" s="54"/>
      <c r="FX145" s="86"/>
      <c r="FY145" s="86"/>
      <c r="FZ145" s="102"/>
      <c r="GA145" s="86"/>
      <c r="GB145" s="86"/>
      <c r="GD145" s="63"/>
      <c r="GE145" s="63"/>
      <c r="GF145" s="63"/>
      <c r="GG145" s="63"/>
      <c r="GH145" s="45"/>
      <c r="GI145" s="54"/>
      <c r="GJ145" s="54"/>
      <c r="GL145" s="86"/>
      <c r="GR145" s="86"/>
      <c r="GS145" s="86"/>
      <c r="GU145" s="63"/>
      <c r="GV145" s="63"/>
      <c r="GW145" s="63"/>
      <c r="GX145" s="63"/>
      <c r="GZ145" s="63"/>
      <c r="HA145" s="54"/>
      <c r="HD145" s="86"/>
      <c r="HI145" s="86"/>
      <c r="HJ145" s="86"/>
      <c r="HQ145" s="63"/>
      <c r="HR145" s="54"/>
      <c r="HU145" s="86"/>
      <c r="HZ145" s="86"/>
      <c r="IA145" s="86"/>
      <c r="IF145" s="54"/>
      <c r="IH145" s="89"/>
      <c r="IK145" s="86"/>
    </row>
    <row r="146" spans="1:245">
      <c r="A146" s="86">
        <v>116</v>
      </c>
      <c r="B146" s="117"/>
      <c r="C146" s="117"/>
      <c r="D146" s="117"/>
      <c r="E146" s="117"/>
      <c r="K146" s="117"/>
      <c r="L146" s="45"/>
      <c r="M146" s="45"/>
      <c r="N146" s="45"/>
      <c r="O146" s="45"/>
      <c r="P146" s="45"/>
      <c r="Q146" s="45"/>
      <c r="R146" s="45"/>
      <c r="S146" s="117"/>
      <c r="T146" s="117"/>
      <c r="U146" s="74"/>
      <c r="V146" s="74"/>
      <c r="W146" s="74"/>
      <c r="X146" s="74"/>
      <c r="Y146" s="74"/>
      <c r="Z146" s="74"/>
      <c r="AA146" s="74"/>
      <c r="AB146" s="74"/>
      <c r="AC146" s="117"/>
      <c r="AD146" s="117"/>
      <c r="AE146" s="117"/>
      <c r="AF146" s="117"/>
      <c r="AG146" s="117"/>
      <c r="AH146" s="117"/>
      <c r="AI146" s="117"/>
      <c r="AJ146" s="117"/>
      <c r="AK146" s="117"/>
      <c r="AL146" s="117"/>
      <c r="AM146" s="117"/>
      <c r="AN146" s="117"/>
      <c r="AO146" s="117"/>
      <c r="AP146" s="117"/>
      <c r="AQ146" s="117"/>
      <c r="AR146" s="300"/>
      <c r="AS146" s="300"/>
      <c r="AT146" s="86"/>
      <c r="AU146" s="162"/>
      <c r="AV146" s="162"/>
      <c r="AW146" s="162"/>
      <c r="AX146" s="162"/>
      <c r="AY146" s="162"/>
      <c r="BB146" s="45"/>
      <c r="BC146" s="45"/>
      <c r="BD146" s="117"/>
      <c r="BE146" s="117"/>
      <c r="BF146" s="99"/>
      <c r="BG146" s="99"/>
      <c r="BH146" s="74"/>
      <c r="BI146" s="117"/>
      <c r="BJ146" s="117"/>
      <c r="BK146" s="117"/>
      <c r="BL146" s="117"/>
      <c r="BM146" s="117"/>
      <c r="BN146" s="117"/>
      <c r="BO146" s="117"/>
      <c r="BP146" s="117"/>
      <c r="BQ146" s="117"/>
      <c r="BR146" s="117"/>
      <c r="BS146" s="117"/>
      <c r="BT146" s="117"/>
      <c r="BU146" s="117"/>
      <c r="BV146" s="117"/>
      <c r="BW146" s="117"/>
      <c r="BX146" s="102"/>
      <c r="BY146" s="102"/>
      <c r="BZ146" s="102"/>
      <c r="CD146" s="102"/>
      <c r="CE146" s="102"/>
      <c r="CG146" s="86"/>
      <c r="CH146" s="86"/>
      <c r="CI146" s="86"/>
      <c r="CJ146" s="86"/>
      <c r="CL146" s="63"/>
      <c r="CM146" s="54"/>
      <c r="CN146" s="152"/>
      <c r="CO146" s="54"/>
      <c r="CP146" s="54"/>
      <c r="CQ146" s="86"/>
      <c r="CR146" s="63"/>
      <c r="CS146" s="63"/>
      <c r="CT146" s="63"/>
      <c r="CU146" s="63"/>
      <c r="CV146" s="86"/>
      <c r="CW146" s="86"/>
      <c r="CX146" s="86"/>
      <c r="DF146" s="54"/>
      <c r="DG146" s="54"/>
      <c r="DH146" s="63"/>
      <c r="DI146" s="63"/>
      <c r="DJ146" s="63"/>
      <c r="DK146" s="63"/>
      <c r="DL146" s="63"/>
      <c r="DN146" s="86"/>
      <c r="DO146" s="86"/>
      <c r="DP146" s="86"/>
      <c r="DR146" s="63"/>
      <c r="DW146" s="54"/>
      <c r="DX146" s="54"/>
      <c r="DY146" s="63"/>
      <c r="DZ146" s="63"/>
      <c r="EA146" s="63"/>
      <c r="EB146" s="63"/>
      <c r="EC146" s="63"/>
      <c r="EE146" s="86"/>
      <c r="EF146" s="86"/>
      <c r="EG146" s="86"/>
      <c r="EI146" s="63"/>
      <c r="EN146" s="54"/>
      <c r="EQ146" s="86"/>
      <c r="ER146" s="86"/>
      <c r="EX146" s="54"/>
      <c r="FG146" s="86"/>
      <c r="FL146" s="45"/>
      <c r="FT146" s="63"/>
      <c r="FU146" s="54"/>
      <c r="FV146" s="54"/>
      <c r="FW146" s="54"/>
      <c r="FX146" s="86"/>
      <c r="FY146" s="86"/>
      <c r="FZ146" s="102"/>
      <c r="GA146" s="86"/>
      <c r="GB146" s="86"/>
      <c r="GD146" s="63"/>
      <c r="GE146" s="63"/>
      <c r="GF146" s="63"/>
      <c r="GG146" s="63"/>
      <c r="GH146" s="45"/>
      <c r="GI146" s="54"/>
      <c r="GJ146" s="54"/>
      <c r="GL146" s="86"/>
      <c r="GR146" s="86"/>
      <c r="GS146" s="86"/>
      <c r="GU146" s="63"/>
      <c r="GV146" s="63"/>
      <c r="GW146" s="63"/>
      <c r="GX146" s="63"/>
      <c r="GZ146" s="63"/>
      <c r="HA146" s="54"/>
      <c r="HD146" s="86"/>
      <c r="HI146" s="86"/>
      <c r="HJ146" s="86"/>
      <c r="HQ146" s="63"/>
      <c r="HR146" s="54"/>
      <c r="HU146" s="86"/>
      <c r="HZ146" s="86"/>
      <c r="IA146" s="86"/>
      <c r="IF146" s="54"/>
      <c r="IH146" s="89"/>
      <c r="IK146" s="86"/>
    </row>
    <row r="147" spans="1:245">
      <c r="A147" s="86">
        <v>117</v>
      </c>
      <c r="B147" s="117"/>
      <c r="C147" s="117"/>
      <c r="D147" s="117"/>
      <c r="E147" s="117"/>
      <c r="K147" s="117"/>
      <c r="L147" s="45"/>
      <c r="M147" s="45"/>
      <c r="N147" s="45"/>
      <c r="O147" s="45"/>
      <c r="P147" s="45"/>
      <c r="Q147" s="45"/>
      <c r="R147" s="45"/>
      <c r="S147" s="117"/>
      <c r="T147" s="117"/>
      <c r="U147" s="74"/>
      <c r="V147" s="74"/>
      <c r="W147" s="74"/>
      <c r="X147" s="74"/>
      <c r="Y147" s="74"/>
      <c r="Z147" s="74"/>
      <c r="AA147" s="74"/>
      <c r="AB147" s="74"/>
      <c r="AC147" s="117"/>
      <c r="AD147" s="117"/>
      <c r="AE147" s="117"/>
      <c r="AF147" s="117"/>
      <c r="AG147" s="117"/>
      <c r="AH147" s="117"/>
      <c r="AI147" s="117"/>
      <c r="AJ147" s="117"/>
      <c r="AK147" s="117"/>
      <c r="AL147" s="117"/>
      <c r="AM147" s="117"/>
      <c r="AN147" s="117"/>
      <c r="AO147" s="117"/>
      <c r="AP147" s="117"/>
      <c r="AQ147" s="117"/>
      <c r="AR147" s="300"/>
      <c r="AS147" s="300"/>
      <c r="AT147" s="86"/>
      <c r="AU147" s="162"/>
      <c r="AV147" s="162"/>
      <c r="AW147" s="162"/>
      <c r="AX147" s="162"/>
      <c r="AY147" s="162"/>
      <c r="BB147" s="45"/>
      <c r="BC147" s="45"/>
      <c r="BD147" s="117"/>
      <c r="BE147" s="117"/>
      <c r="BF147" s="99"/>
      <c r="BG147" s="99"/>
      <c r="BH147" s="74"/>
      <c r="BI147" s="117"/>
      <c r="BJ147" s="117"/>
      <c r="BK147" s="117"/>
      <c r="BL147" s="117"/>
      <c r="BM147" s="117"/>
      <c r="BN147" s="117"/>
      <c r="BO147" s="117"/>
      <c r="BP147" s="117"/>
      <c r="BQ147" s="117"/>
      <c r="BR147" s="117"/>
      <c r="BS147" s="117"/>
      <c r="BT147" s="117"/>
      <c r="BU147" s="117"/>
      <c r="BV147" s="117"/>
      <c r="BW147" s="117"/>
      <c r="BX147" s="102"/>
      <c r="BY147" s="102"/>
      <c r="BZ147" s="102"/>
      <c r="CD147" s="102"/>
      <c r="CE147" s="102"/>
      <c r="CG147" s="86"/>
      <c r="CH147" s="86"/>
      <c r="CI147" s="86"/>
      <c r="CJ147" s="86"/>
      <c r="CL147" s="63"/>
      <c r="CM147" s="54"/>
      <c r="CN147" s="152"/>
      <c r="CO147" s="54"/>
      <c r="CP147" s="54"/>
      <c r="CQ147" s="86"/>
      <c r="CR147" s="63"/>
      <c r="CS147" s="63"/>
      <c r="CT147" s="63"/>
      <c r="CU147" s="63"/>
      <c r="CV147" s="86"/>
      <c r="CW147" s="86"/>
      <c r="CX147" s="86"/>
      <c r="DF147" s="54"/>
      <c r="DG147" s="54"/>
      <c r="DH147" s="63"/>
      <c r="DI147" s="63"/>
      <c r="DJ147" s="63"/>
      <c r="DK147" s="63"/>
      <c r="DL147" s="63"/>
      <c r="DN147" s="86"/>
      <c r="DO147" s="86"/>
      <c r="DP147" s="86"/>
      <c r="DR147" s="63"/>
      <c r="DW147" s="54"/>
      <c r="DX147" s="54"/>
      <c r="DY147" s="63"/>
      <c r="DZ147" s="63"/>
      <c r="EA147" s="63"/>
      <c r="EB147" s="63"/>
      <c r="EC147" s="63"/>
      <c r="EE147" s="86"/>
      <c r="EF147" s="86"/>
      <c r="EG147" s="86"/>
      <c r="EI147" s="63"/>
      <c r="EN147" s="54"/>
      <c r="EQ147" s="86"/>
      <c r="ER147" s="86"/>
      <c r="EX147" s="54"/>
      <c r="FG147" s="86"/>
      <c r="FL147" s="45"/>
      <c r="FT147" s="63"/>
      <c r="FU147" s="54"/>
      <c r="FV147" s="54"/>
      <c r="FW147" s="54"/>
      <c r="FX147" s="86"/>
      <c r="FY147" s="86"/>
      <c r="FZ147" s="102"/>
      <c r="GA147" s="86"/>
      <c r="GB147" s="86"/>
      <c r="GD147" s="63"/>
      <c r="GE147" s="63"/>
      <c r="GF147" s="63"/>
      <c r="GG147" s="63"/>
      <c r="GH147" s="45"/>
      <c r="GI147" s="54"/>
      <c r="GJ147" s="54"/>
      <c r="GL147" s="86"/>
      <c r="GR147" s="86"/>
      <c r="GS147" s="86"/>
      <c r="GU147" s="63"/>
      <c r="GV147" s="63"/>
      <c r="GW147" s="63"/>
      <c r="GX147" s="63"/>
      <c r="GZ147" s="63"/>
      <c r="HA147" s="54"/>
      <c r="HD147" s="86"/>
      <c r="HI147" s="86"/>
      <c r="HJ147" s="86"/>
      <c r="HQ147" s="63"/>
      <c r="HR147" s="54"/>
      <c r="HU147" s="86"/>
      <c r="HZ147" s="86"/>
      <c r="IA147" s="86"/>
      <c r="IF147" s="54"/>
      <c r="IH147" s="89"/>
      <c r="IK147" s="86"/>
    </row>
    <row r="148" spans="1:245">
      <c r="A148" s="86">
        <v>118</v>
      </c>
      <c r="B148" s="117"/>
      <c r="C148" s="117"/>
      <c r="D148" s="117"/>
      <c r="E148" s="117"/>
      <c r="K148" s="117"/>
      <c r="L148" s="45"/>
      <c r="M148" s="45"/>
      <c r="N148" s="45"/>
      <c r="O148" s="45"/>
      <c r="P148" s="45"/>
      <c r="Q148" s="45"/>
      <c r="R148" s="45"/>
      <c r="S148" s="117"/>
      <c r="T148" s="117"/>
      <c r="U148" s="74"/>
      <c r="V148" s="74"/>
      <c r="W148" s="74"/>
      <c r="X148" s="74"/>
      <c r="Y148" s="74"/>
      <c r="Z148" s="74"/>
      <c r="AA148" s="74"/>
      <c r="AB148" s="74"/>
      <c r="AC148" s="117"/>
      <c r="AD148" s="117"/>
      <c r="AE148" s="117"/>
      <c r="AF148" s="117"/>
      <c r="AG148" s="117"/>
      <c r="AH148" s="117"/>
      <c r="AI148" s="117"/>
      <c r="AJ148" s="117"/>
      <c r="AK148" s="117"/>
      <c r="AL148" s="117"/>
      <c r="AM148" s="117"/>
      <c r="AN148" s="117"/>
      <c r="AO148" s="117"/>
      <c r="AP148" s="117"/>
      <c r="AQ148" s="117"/>
      <c r="AR148" s="300"/>
      <c r="AS148" s="300"/>
      <c r="AT148" s="86"/>
      <c r="AU148" s="162"/>
      <c r="AV148" s="162"/>
      <c r="AW148" s="162"/>
      <c r="AX148" s="162"/>
      <c r="AY148" s="162"/>
      <c r="BB148" s="45"/>
      <c r="BC148" s="45"/>
      <c r="BD148" s="117"/>
      <c r="BE148" s="117"/>
      <c r="BF148" s="99"/>
      <c r="BG148" s="99"/>
      <c r="BH148" s="74"/>
      <c r="BI148" s="117"/>
      <c r="BJ148" s="117"/>
      <c r="BK148" s="117"/>
      <c r="BL148" s="117"/>
      <c r="BM148" s="117"/>
      <c r="BN148" s="117"/>
      <c r="BO148" s="117"/>
      <c r="BP148" s="117"/>
      <c r="BQ148" s="117"/>
      <c r="BR148" s="117"/>
      <c r="BS148" s="117"/>
      <c r="BT148" s="117"/>
      <c r="BU148" s="117"/>
      <c r="BV148" s="117"/>
      <c r="BW148" s="117"/>
      <c r="BX148" s="102"/>
      <c r="BY148" s="102"/>
      <c r="BZ148" s="102"/>
      <c r="CD148" s="102"/>
      <c r="CE148" s="102"/>
      <c r="CG148" s="86"/>
      <c r="CH148" s="86"/>
      <c r="CI148" s="86"/>
      <c r="CJ148" s="86"/>
      <c r="CL148" s="63"/>
      <c r="CM148" s="54"/>
      <c r="CN148" s="152"/>
      <c r="CO148" s="54"/>
      <c r="CP148" s="54"/>
      <c r="CQ148" s="86"/>
      <c r="CR148" s="63"/>
      <c r="CS148" s="63"/>
      <c r="CT148" s="63"/>
      <c r="CU148" s="63"/>
      <c r="CV148" s="86"/>
      <c r="CW148" s="86"/>
      <c r="CX148" s="86"/>
      <c r="DF148" s="54"/>
      <c r="DG148" s="54"/>
      <c r="DH148" s="63"/>
      <c r="DI148" s="63"/>
      <c r="DJ148" s="63"/>
      <c r="DK148" s="63"/>
      <c r="DL148" s="63"/>
      <c r="DN148" s="86"/>
      <c r="DO148" s="86"/>
      <c r="DP148" s="86"/>
      <c r="DR148" s="63"/>
      <c r="DW148" s="54"/>
      <c r="DX148" s="54"/>
      <c r="DY148" s="63"/>
      <c r="DZ148" s="63"/>
      <c r="EA148" s="63"/>
      <c r="EB148" s="63"/>
      <c r="EC148" s="63"/>
      <c r="EE148" s="86"/>
      <c r="EF148" s="86"/>
      <c r="EG148" s="86"/>
      <c r="EI148" s="63"/>
      <c r="EN148" s="54"/>
      <c r="EQ148" s="86"/>
      <c r="ER148" s="86"/>
      <c r="EX148" s="54"/>
      <c r="FG148" s="86"/>
      <c r="FL148" s="45"/>
      <c r="FT148" s="63"/>
      <c r="FU148" s="54"/>
      <c r="FV148" s="54"/>
      <c r="FW148" s="54"/>
      <c r="FX148" s="86"/>
      <c r="FY148" s="86"/>
      <c r="FZ148" s="102"/>
      <c r="GA148" s="86"/>
      <c r="GB148" s="86"/>
      <c r="GD148" s="63"/>
      <c r="GE148" s="63"/>
      <c r="GF148" s="63"/>
      <c r="GG148" s="63"/>
      <c r="GH148" s="45"/>
      <c r="GI148" s="54"/>
      <c r="GJ148" s="54"/>
      <c r="GL148" s="86"/>
      <c r="GR148" s="86"/>
      <c r="GS148" s="86"/>
      <c r="GU148" s="63"/>
      <c r="GV148" s="63"/>
      <c r="GW148" s="63"/>
      <c r="GX148" s="63"/>
      <c r="GZ148" s="63"/>
      <c r="HA148" s="54"/>
      <c r="HD148" s="86"/>
      <c r="HI148" s="86"/>
      <c r="HJ148" s="86"/>
      <c r="HQ148" s="63"/>
      <c r="HR148" s="54"/>
      <c r="HU148" s="86"/>
      <c r="HZ148" s="86"/>
      <c r="IA148" s="86"/>
      <c r="IF148" s="54"/>
      <c r="IH148" s="89"/>
      <c r="IK148" s="86"/>
    </row>
    <row r="149" spans="1:245">
      <c r="A149" s="86">
        <v>119</v>
      </c>
      <c r="B149" s="117"/>
      <c r="C149" s="117"/>
      <c r="D149" s="117"/>
      <c r="E149" s="117"/>
      <c r="K149" s="117"/>
      <c r="L149" s="45"/>
      <c r="M149" s="45"/>
      <c r="N149" s="45"/>
      <c r="O149" s="45"/>
      <c r="P149" s="45"/>
      <c r="Q149" s="45"/>
      <c r="R149" s="45"/>
      <c r="S149" s="117"/>
      <c r="T149" s="117"/>
      <c r="U149" s="74"/>
      <c r="V149" s="74"/>
      <c r="W149" s="74"/>
      <c r="X149" s="74"/>
      <c r="Y149" s="74"/>
      <c r="Z149" s="74"/>
      <c r="AA149" s="74"/>
      <c r="AB149" s="74"/>
      <c r="AC149" s="117"/>
      <c r="AD149" s="117"/>
      <c r="AE149" s="117"/>
      <c r="AF149" s="117"/>
      <c r="AG149" s="117"/>
      <c r="AH149" s="117"/>
      <c r="AI149" s="117"/>
      <c r="AJ149" s="117"/>
      <c r="AK149" s="117"/>
      <c r="AL149" s="117"/>
      <c r="AM149" s="117"/>
      <c r="AN149" s="117"/>
      <c r="AO149" s="117"/>
      <c r="AP149" s="117"/>
      <c r="AQ149" s="117"/>
      <c r="AR149" s="300"/>
      <c r="AS149" s="300"/>
      <c r="AT149" s="86"/>
      <c r="AU149" s="162"/>
      <c r="AV149" s="162"/>
      <c r="AW149" s="162"/>
      <c r="AX149" s="162"/>
      <c r="AY149" s="162"/>
      <c r="BB149" s="45"/>
      <c r="BC149" s="45"/>
      <c r="BD149" s="117"/>
      <c r="BE149" s="117"/>
      <c r="BF149" s="99"/>
      <c r="BG149" s="99"/>
      <c r="BH149" s="74"/>
      <c r="BI149" s="117"/>
      <c r="BJ149" s="117"/>
      <c r="BK149" s="117"/>
      <c r="BL149" s="117"/>
      <c r="BM149" s="117"/>
      <c r="BN149" s="117"/>
      <c r="BO149" s="117"/>
      <c r="BP149" s="117"/>
      <c r="BQ149" s="117"/>
      <c r="BR149" s="117"/>
      <c r="BS149" s="117"/>
      <c r="BT149" s="117"/>
      <c r="BU149" s="117"/>
      <c r="BV149" s="117"/>
      <c r="BW149" s="117"/>
      <c r="BX149" s="102"/>
      <c r="BY149" s="102"/>
      <c r="BZ149" s="102"/>
      <c r="CD149" s="102"/>
      <c r="CE149" s="102"/>
      <c r="CG149" s="86"/>
      <c r="CH149" s="86"/>
      <c r="CI149" s="86"/>
      <c r="CJ149" s="86"/>
      <c r="CL149" s="63"/>
      <c r="CM149" s="54"/>
      <c r="CN149" s="152"/>
      <c r="CO149" s="54"/>
      <c r="CP149" s="54"/>
      <c r="CQ149" s="86"/>
      <c r="CR149" s="63"/>
      <c r="CS149" s="63"/>
      <c r="CT149" s="63"/>
      <c r="CU149" s="63"/>
      <c r="CV149" s="86"/>
      <c r="CW149" s="86"/>
      <c r="CX149" s="86"/>
      <c r="DF149" s="54"/>
      <c r="DG149" s="54"/>
      <c r="DH149" s="63"/>
      <c r="DI149" s="63"/>
      <c r="DJ149" s="63"/>
      <c r="DK149" s="63"/>
      <c r="DL149" s="63"/>
      <c r="DN149" s="86"/>
      <c r="DO149" s="86"/>
      <c r="DP149" s="86"/>
      <c r="DR149" s="63"/>
      <c r="DW149" s="54"/>
      <c r="DX149" s="54"/>
      <c r="DY149" s="63"/>
      <c r="DZ149" s="63"/>
      <c r="EA149" s="63"/>
      <c r="EB149" s="63"/>
      <c r="EC149" s="63"/>
      <c r="EE149" s="86"/>
      <c r="EF149" s="86"/>
      <c r="EG149" s="86"/>
      <c r="EI149" s="63"/>
      <c r="EN149" s="54"/>
      <c r="EQ149" s="86"/>
      <c r="ER149" s="86"/>
      <c r="EX149" s="54"/>
      <c r="FG149" s="86"/>
      <c r="FL149" s="45"/>
      <c r="FT149" s="63"/>
      <c r="FU149" s="54"/>
      <c r="FV149" s="54"/>
      <c r="FW149" s="54"/>
      <c r="FX149" s="86"/>
      <c r="FY149" s="86"/>
      <c r="FZ149" s="102"/>
      <c r="GA149" s="86"/>
      <c r="GB149" s="86"/>
      <c r="GD149" s="63"/>
      <c r="GE149" s="63"/>
      <c r="GF149" s="63"/>
      <c r="GG149" s="63"/>
      <c r="GH149" s="45"/>
      <c r="GI149" s="54"/>
      <c r="GJ149" s="54"/>
      <c r="GL149" s="86"/>
      <c r="GR149" s="86"/>
      <c r="GS149" s="86"/>
      <c r="GU149" s="63"/>
      <c r="GV149" s="63"/>
      <c r="GW149" s="63"/>
      <c r="GX149" s="63"/>
      <c r="GZ149" s="63"/>
      <c r="HA149" s="54"/>
      <c r="HD149" s="86"/>
      <c r="HI149" s="86"/>
      <c r="HJ149" s="86"/>
      <c r="HQ149" s="63"/>
      <c r="HR149" s="54"/>
      <c r="HU149" s="86"/>
      <c r="HZ149" s="86"/>
      <c r="IA149" s="86"/>
      <c r="IF149" s="54"/>
      <c r="IH149" s="89"/>
      <c r="IK149" s="86"/>
    </row>
    <row r="150" spans="1:245">
      <c r="A150" s="86">
        <v>120</v>
      </c>
      <c r="B150" s="117"/>
      <c r="C150" s="117"/>
      <c r="D150" s="117"/>
      <c r="E150" s="117"/>
      <c r="K150" s="117"/>
      <c r="L150" s="45"/>
      <c r="M150" s="45"/>
      <c r="N150" s="45"/>
      <c r="O150" s="45"/>
      <c r="P150" s="45"/>
      <c r="Q150" s="45"/>
      <c r="R150" s="45"/>
      <c r="S150" s="117"/>
      <c r="T150" s="117"/>
      <c r="U150" s="74"/>
      <c r="V150" s="74"/>
      <c r="W150" s="74"/>
      <c r="X150" s="74"/>
      <c r="Y150" s="74"/>
      <c r="Z150" s="74"/>
      <c r="AA150" s="74"/>
      <c r="AB150" s="74"/>
      <c r="AC150" s="117"/>
      <c r="AD150" s="117"/>
      <c r="AE150" s="117"/>
      <c r="AF150" s="117"/>
      <c r="AG150" s="117"/>
      <c r="AH150" s="117"/>
      <c r="AI150" s="117"/>
      <c r="AJ150" s="117"/>
      <c r="AK150" s="117"/>
      <c r="AL150" s="117"/>
      <c r="AM150" s="117"/>
      <c r="AN150" s="117"/>
      <c r="AO150" s="117"/>
      <c r="AP150" s="117"/>
      <c r="AQ150" s="117"/>
      <c r="AR150" s="300"/>
      <c r="AS150" s="300"/>
      <c r="AT150" s="86"/>
      <c r="AU150" s="162"/>
      <c r="AV150" s="162"/>
      <c r="AW150" s="162"/>
      <c r="AX150" s="162"/>
      <c r="AY150" s="162"/>
      <c r="BB150" s="45"/>
      <c r="BC150" s="45"/>
      <c r="BD150" s="117"/>
      <c r="BE150" s="117"/>
      <c r="BF150" s="99"/>
      <c r="BG150" s="99"/>
      <c r="BH150" s="74"/>
      <c r="BI150" s="117"/>
      <c r="BJ150" s="117"/>
      <c r="BK150" s="117"/>
      <c r="BL150" s="117"/>
      <c r="BM150" s="117"/>
      <c r="BN150" s="117"/>
      <c r="BO150" s="117"/>
      <c r="BP150" s="117"/>
      <c r="BQ150" s="117"/>
      <c r="BR150" s="117"/>
      <c r="BS150" s="117"/>
      <c r="BT150" s="117"/>
      <c r="BU150" s="117"/>
      <c r="BV150" s="117"/>
      <c r="BW150" s="117"/>
      <c r="BX150" s="102"/>
      <c r="BY150" s="102"/>
      <c r="BZ150" s="102"/>
      <c r="CD150" s="102"/>
      <c r="CE150" s="102"/>
      <c r="CG150" s="86"/>
      <c r="CH150" s="86"/>
      <c r="CI150" s="86"/>
      <c r="CJ150" s="86"/>
      <c r="CL150" s="63"/>
      <c r="CM150" s="54"/>
      <c r="CN150" s="152"/>
      <c r="CO150" s="54"/>
      <c r="CP150" s="54"/>
      <c r="CQ150" s="86"/>
      <c r="CR150" s="63"/>
      <c r="CS150" s="63"/>
      <c r="CT150" s="63"/>
      <c r="CU150" s="63"/>
      <c r="CV150" s="86"/>
      <c r="CW150" s="86"/>
      <c r="CX150" s="86"/>
      <c r="DF150" s="54"/>
      <c r="DG150" s="54"/>
      <c r="DH150" s="63"/>
      <c r="DI150" s="63"/>
      <c r="DJ150" s="63"/>
      <c r="DK150" s="63"/>
      <c r="DL150" s="63"/>
      <c r="DN150" s="86"/>
      <c r="DO150" s="86"/>
      <c r="DP150" s="86"/>
      <c r="DR150" s="63"/>
      <c r="DW150" s="54"/>
      <c r="DX150" s="54"/>
      <c r="DY150" s="63"/>
      <c r="DZ150" s="63"/>
      <c r="EA150" s="63"/>
      <c r="EB150" s="63"/>
      <c r="EC150" s="63"/>
      <c r="EE150" s="86"/>
      <c r="EF150" s="86"/>
      <c r="EG150" s="86"/>
      <c r="EI150" s="63"/>
      <c r="EN150" s="54"/>
      <c r="EQ150" s="86"/>
      <c r="ER150" s="86"/>
      <c r="EX150" s="54"/>
      <c r="FG150" s="86"/>
      <c r="FL150" s="45"/>
      <c r="FT150" s="63"/>
      <c r="FU150" s="54"/>
      <c r="FV150" s="54"/>
      <c r="FW150" s="54"/>
      <c r="FX150" s="86"/>
      <c r="FY150" s="86"/>
      <c r="FZ150" s="102"/>
      <c r="GA150" s="86"/>
      <c r="GB150" s="86"/>
      <c r="GD150" s="63"/>
      <c r="GE150" s="63"/>
      <c r="GF150" s="63"/>
      <c r="GG150" s="63"/>
      <c r="GH150" s="45"/>
      <c r="GI150" s="54"/>
      <c r="GJ150" s="54"/>
      <c r="GL150" s="86"/>
      <c r="GR150" s="86"/>
      <c r="GS150" s="86"/>
      <c r="GU150" s="63"/>
      <c r="GV150" s="63"/>
      <c r="GW150" s="63"/>
      <c r="GX150" s="63"/>
      <c r="GZ150" s="63"/>
      <c r="HA150" s="54"/>
      <c r="HD150" s="86"/>
      <c r="HI150" s="86"/>
      <c r="HJ150" s="86"/>
      <c r="HQ150" s="63"/>
      <c r="HR150" s="54"/>
      <c r="HU150" s="86"/>
      <c r="HZ150" s="86"/>
      <c r="IA150" s="86"/>
      <c r="IF150" s="54"/>
      <c r="IH150" s="89"/>
      <c r="IK150" s="86"/>
    </row>
    <row r="151" spans="1:245">
      <c r="A151" s="86">
        <v>121</v>
      </c>
      <c r="B151" s="117"/>
      <c r="C151" s="117"/>
      <c r="D151" s="117"/>
      <c r="E151" s="117"/>
      <c r="K151" s="117"/>
      <c r="L151" s="45"/>
      <c r="M151" s="45"/>
      <c r="N151" s="45"/>
      <c r="O151" s="45"/>
      <c r="P151" s="45"/>
      <c r="Q151" s="45"/>
      <c r="R151" s="45"/>
      <c r="S151" s="117"/>
      <c r="T151" s="117"/>
      <c r="U151" s="74"/>
      <c r="V151" s="74"/>
      <c r="W151" s="74"/>
      <c r="X151" s="74"/>
      <c r="Y151" s="74"/>
      <c r="Z151" s="74"/>
      <c r="AA151" s="74"/>
      <c r="AB151" s="74"/>
      <c r="AC151" s="117"/>
      <c r="AD151" s="117"/>
      <c r="AE151" s="117"/>
      <c r="AF151" s="117"/>
      <c r="AG151" s="117"/>
      <c r="AH151" s="117"/>
      <c r="AI151" s="117"/>
      <c r="AJ151" s="117"/>
      <c r="AK151" s="117"/>
      <c r="AL151" s="117"/>
      <c r="AM151" s="117"/>
      <c r="AN151" s="117"/>
      <c r="AO151" s="117"/>
      <c r="AP151" s="117"/>
      <c r="AQ151" s="117"/>
      <c r="AR151" s="300"/>
      <c r="AS151" s="300"/>
      <c r="AT151" s="86"/>
      <c r="AU151" s="162"/>
      <c r="AV151" s="162"/>
      <c r="AW151" s="162"/>
      <c r="AX151" s="162"/>
      <c r="AY151" s="162"/>
      <c r="BB151" s="45"/>
      <c r="BC151" s="45"/>
      <c r="BD151" s="117"/>
      <c r="BE151" s="117"/>
      <c r="BF151" s="99"/>
      <c r="BG151" s="99"/>
      <c r="BH151" s="74"/>
      <c r="BI151" s="117"/>
      <c r="BJ151" s="117"/>
      <c r="BK151" s="117"/>
      <c r="BL151" s="117"/>
      <c r="BM151" s="117"/>
      <c r="BN151" s="117"/>
      <c r="BO151" s="117"/>
      <c r="BP151" s="117"/>
      <c r="BQ151" s="117"/>
      <c r="BR151" s="117"/>
      <c r="BS151" s="117"/>
      <c r="BT151" s="117"/>
      <c r="BU151" s="117"/>
      <c r="BV151" s="117"/>
      <c r="BW151" s="117"/>
      <c r="BX151" s="102"/>
      <c r="BY151" s="102"/>
      <c r="CD151" s="102"/>
      <c r="CE151" s="102"/>
      <c r="CG151" s="86"/>
      <c r="CH151" s="86"/>
      <c r="CI151" s="86"/>
      <c r="CJ151" s="86"/>
      <c r="CL151" s="63"/>
      <c r="CM151" s="54"/>
      <c r="CN151" s="152"/>
      <c r="CO151" s="54"/>
      <c r="CP151" s="54"/>
      <c r="CQ151" s="86"/>
      <c r="CR151" s="63"/>
      <c r="CS151" s="63"/>
      <c r="CT151" s="63"/>
      <c r="CU151" s="63"/>
      <c r="CV151" s="86"/>
      <c r="CW151" s="86"/>
      <c r="CX151" s="86"/>
      <c r="DF151" s="54"/>
      <c r="DG151" s="54"/>
      <c r="DH151" s="63"/>
      <c r="DI151" s="63"/>
      <c r="DJ151" s="63"/>
      <c r="DK151" s="63"/>
      <c r="DL151" s="63"/>
      <c r="DN151" s="86"/>
      <c r="DO151" s="86"/>
      <c r="DP151" s="86"/>
      <c r="DR151" s="63"/>
      <c r="DW151" s="54"/>
      <c r="DX151" s="54"/>
      <c r="DY151" s="63"/>
      <c r="DZ151" s="63"/>
      <c r="EA151" s="63"/>
      <c r="EB151" s="63"/>
      <c r="EC151" s="63"/>
      <c r="EE151" s="86"/>
      <c r="EF151" s="86"/>
      <c r="EG151" s="86"/>
      <c r="EI151" s="63"/>
      <c r="EN151" s="54"/>
      <c r="EQ151" s="86"/>
      <c r="ER151" s="86"/>
      <c r="EX151" s="54"/>
      <c r="FG151" s="86"/>
      <c r="FL151" s="45"/>
      <c r="FT151" s="63"/>
      <c r="FU151" s="54"/>
      <c r="FV151" s="54"/>
      <c r="FW151" s="54"/>
      <c r="FX151" s="86"/>
      <c r="FY151" s="86"/>
      <c r="FZ151" s="102"/>
      <c r="GA151" s="86"/>
      <c r="GB151" s="86"/>
      <c r="GD151" s="63"/>
      <c r="GE151" s="63"/>
      <c r="GF151" s="63"/>
      <c r="GG151" s="63"/>
      <c r="GH151" s="45"/>
      <c r="GI151" s="54"/>
      <c r="GJ151" s="54"/>
      <c r="GL151" s="86"/>
      <c r="GR151" s="86"/>
      <c r="GS151" s="86"/>
      <c r="GU151" s="63"/>
      <c r="GV151" s="63"/>
      <c r="GW151" s="63"/>
      <c r="GX151" s="63"/>
      <c r="GZ151" s="63"/>
      <c r="HA151" s="54"/>
      <c r="HD151" s="86"/>
      <c r="HI151" s="86"/>
      <c r="HJ151" s="86"/>
      <c r="HQ151" s="63"/>
      <c r="HR151" s="54"/>
      <c r="HU151" s="86"/>
      <c r="HZ151" s="86"/>
      <c r="IA151" s="86"/>
      <c r="IF151" s="54"/>
      <c r="IH151" s="89"/>
      <c r="IK151" s="86"/>
    </row>
    <row r="152" spans="1:245">
      <c r="A152" s="86">
        <v>122</v>
      </c>
      <c r="B152" s="117"/>
      <c r="C152" s="117"/>
      <c r="D152" s="117"/>
      <c r="E152" s="117"/>
      <c r="K152" s="117"/>
      <c r="L152" s="45"/>
      <c r="M152" s="45"/>
      <c r="N152" s="45"/>
      <c r="O152" s="45"/>
      <c r="P152" s="45"/>
      <c r="Q152" s="45"/>
      <c r="R152" s="45"/>
      <c r="S152" s="117"/>
      <c r="T152" s="117"/>
      <c r="U152" s="74"/>
      <c r="V152" s="74"/>
      <c r="W152" s="74"/>
      <c r="X152" s="74"/>
      <c r="Y152" s="74"/>
      <c r="Z152" s="74"/>
      <c r="AA152" s="74"/>
      <c r="AB152" s="74"/>
      <c r="AC152" s="117"/>
      <c r="AD152" s="117"/>
      <c r="AE152" s="117"/>
      <c r="AF152" s="117"/>
      <c r="AG152" s="117"/>
      <c r="AH152" s="117"/>
      <c r="AI152" s="117"/>
      <c r="AJ152" s="117"/>
      <c r="AK152" s="117"/>
      <c r="AL152" s="117"/>
      <c r="AM152" s="117"/>
      <c r="AN152" s="117"/>
      <c r="AO152" s="117"/>
      <c r="AP152" s="117"/>
      <c r="AQ152" s="117"/>
      <c r="AR152" s="300"/>
      <c r="AS152" s="300"/>
      <c r="AT152" s="86"/>
      <c r="AU152" s="162"/>
      <c r="AV152" s="162"/>
      <c r="AW152" s="162"/>
      <c r="AX152" s="162"/>
      <c r="AY152" s="162"/>
      <c r="BB152" s="45"/>
      <c r="BC152" s="45"/>
      <c r="BD152" s="117"/>
      <c r="BE152" s="117"/>
      <c r="BF152" s="99"/>
      <c r="BG152" s="99"/>
      <c r="BH152" s="74"/>
      <c r="BI152" s="117"/>
      <c r="BJ152" s="117"/>
      <c r="BK152" s="117"/>
      <c r="BL152" s="117"/>
      <c r="BM152" s="117"/>
      <c r="BN152" s="117"/>
      <c r="BO152" s="117"/>
      <c r="BP152" s="117"/>
      <c r="BQ152" s="117"/>
      <c r="BR152" s="117"/>
      <c r="BS152" s="117"/>
      <c r="BT152" s="117"/>
      <c r="BU152" s="117"/>
      <c r="BV152" s="117"/>
      <c r="BW152" s="117"/>
      <c r="BX152" s="102"/>
      <c r="BY152" s="102"/>
      <c r="CD152" s="102"/>
      <c r="CE152" s="102"/>
      <c r="CG152" s="86"/>
      <c r="CH152" s="86"/>
      <c r="CI152" s="86"/>
      <c r="CJ152" s="86"/>
      <c r="CL152" s="63"/>
      <c r="CM152" s="54"/>
      <c r="CN152" s="152"/>
      <c r="CO152" s="54"/>
      <c r="CP152" s="54"/>
      <c r="CQ152" s="86"/>
      <c r="CR152" s="63"/>
      <c r="CS152" s="63"/>
      <c r="CT152" s="63"/>
      <c r="CU152" s="63"/>
      <c r="CV152" s="86"/>
      <c r="CW152" s="86"/>
      <c r="CX152" s="86"/>
      <c r="DF152" s="54"/>
      <c r="DG152" s="54"/>
      <c r="DH152" s="63"/>
      <c r="DI152" s="63"/>
      <c r="DJ152" s="63"/>
      <c r="DK152" s="63"/>
      <c r="DL152" s="63"/>
      <c r="DN152" s="86"/>
      <c r="DO152" s="86"/>
      <c r="DP152" s="86"/>
      <c r="DR152" s="63"/>
      <c r="DW152" s="54"/>
      <c r="DX152" s="54"/>
      <c r="DY152" s="63"/>
      <c r="DZ152" s="63"/>
      <c r="EA152" s="63"/>
      <c r="EB152" s="63"/>
      <c r="EC152" s="63"/>
      <c r="EE152" s="86"/>
      <c r="EF152" s="86"/>
      <c r="EG152" s="86"/>
      <c r="EI152" s="63"/>
      <c r="EN152" s="54"/>
      <c r="EQ152" s="86"/>
      <c r="ER152" s="86"/>
      <c r="EX152" s="54"/>
      <c r="FG152" s="86"/>
      <c r="FL152" s="45"/>
      <c r="FT152" s="63"/>
      <c r="FU152" s="54"/>
      <c r="FV152" s="54"/>
      <c r="FW152" s="54"/>
      <c r="FX152" s="86"/>
      <c r="FY152" s="86"/>
      <c r="FZ152" s="102"/>
      <c r="GA152" s="86"/>
      <c r="GB152" s="86"/>
      <c r="GD152" s="63"/>
      <c r="GE152" s="63"/>
      <c r="GF152" s="63"/>
      <c r="GG152" s="63"/>
      <c r="GH152" s="45"/>
      <c r="GI152" s="54"/>
      <c r="GJ152" s="54"/>
      <c r="GL152" s="86"/>
      <c r="GR152" s="86"/>
      <c r="GS152" s="86"/>
      <c r="GU152" s="63"/>
      <c r="GV152" s="63"/>
      <c r="GW152" s="63"/>
      <c r="GX152" s="63"/>
      <c r="GZ152" s="63"/>
      <c r="HA152" s="54"/>
      <c r="HD152" s="86"/>
      <c r="HI152" s="86"/>
      <c r="HJ152" s="86"/>
      <c r="HQ152" s="63"/>
      <c r="HR152" s="54"/>
      <c r="HU152" s="86"/>
      <c r="HZ152" s="86"/>
      <c r="IA152" s="86"/>
      <c r="IF152" s="54"/>
      <c r="IH152" s="89"/>
      <c r="IK152" s="86"/>
    </row>
    <row r="153" spans="1:245">
      <c r="A153" s="86">
        <v>123</v>
      </c>
      <c r="B153" s="117"/>
      <c r="C153" s="117"/>
      <c r="D153" s="117"/>
      <c r="E153" s="117"/>
      <c r="K153" s="117"/>
      <c r="L153" s="45"/>
      <c r="M153" s="45"/>
      <c r="N153" s="45"/>
      <c r="O153" s="45"/>
      <c r="P153" s="45"/>
      <c r="Q153" s="45"/>
      <c r="R153" s="45"/>
      <c r="S153" s="117"/>
      <c r="T153" s="117"/>
      <c r="U153" s="74"/>
      <c r="V153" s="74"/>
      <c r="W153" s="74"/>
      <c r="X153" s="74"/>
      <c r="Y153" s="74"/>
      <c r="Z153" s="74"/>
      <c r="AA153" s="74"/>
      <c r="AB153" s="74"/>
      <c r="AC153" s="117"/>
      <c r="AD153" s="117"/>
      <c r="AE153" s="117"/>
      <c r="AF153" s="117"/>
      <c r="AG153" s="117"/>
      <c r="AH153" s="117"/>
      <c r="AI153" s="117"/>
      <c r="AJ153" s="117"/>
      <c r="AK153" s="117"/>
      <c r="AL153" s="117"/>
      <c r="AM153" s="117"/>
      <c r="AN153" s="117"/>
      <c r="AO153" s="117"/>
      <c r="AP153" s="117"/>
      <c r="AQ153" s="117"/>
      <c r="AR153" s="300"/>
      <c r="AS153" s="300"/>
      <c r="AT153" s="86"/>
      <c r="AU153" s="162"/>
      <c r="AV153" s="162"/>
      <c r="AW153" s="162"/>
      <c r="AX153" s="162"/>
      <c r="AY153" s="162"/>
      <c r="BB153" s="45"/>
      <c r="BC153" s="45"/>
      <c r="BD153" s="117"/>
      <c r="BE153" s="117"/>
      <c r="BF153" s="99"/>
      <c r="BG153" s="99"/>
      <c r="BH153" s="74"/>
      <c r="BI153" s="117"/>
      <c r="BJ153" s="117"/>
      <c r="BK153" s="117"/>
      <c r="BL153" s="117"/>
      <c r="BM153" s="117"/>
      <c r="BN153" s="117"/>
      <c r="BO153" s="117"/>
      <c r="BP153" s="117"/>
      <c r="BQ153" s="117"/>
      <c r="BR153" s="117"/>
      <c r="BS153" s="117"/>
      <c r="BT153" s="117"/>
      <c r="BU153" s="117"/>
      <c r="BV153" s="117"/>
      <c r="BW153" s="117"/>
      <c r="BX153" s="102"/>
      <c r="BY153" s="102"/>
      <c r="CD153" s="102"/>
      <c r="CE153" s="102"/>
      <c r="CG153" s="86"/>
      <c r="CH153" s="86"/>
      <c r="CI153" s="86"/>
      <c r="CJ153" s="86"/>
      <c r="CL153" s="63"/>
      <c r="CM153" s="54"/>
      <c r="CN153" s="152"/>
      <c r="CO153" s="54"/>
      <c r="CP153" s="54"/>
      <c r="CQ153" s="86"/>
      <c r="CR153" s="63"/>
      <c r="CS153" s="63"/>
      <c r="CT153" s="63"/>
      <c r="CU153" s="63"/>
      <c r="CV153" s="86"/>
      <c r="CW153" s="86"/>
      <c r="CX153" s="86"/>
      <c r="DF153" s="54"/>
      <c r="DG153" s="54"/>
      <c r="DH153" s="63"/>
      <c r="DI153" s="63"/>
      <c r="DJ153" s="63"/>
      <c r="DK153" s="63"/>
      <c r="DL153" s="63"/>
      <c r="DN153" s="86"/>
      <c r="DO153" s="86"/>
      <c r="DP153" s="86"/>
      <c r="DR153" s="63"/>
      <c r="DW153" s="54"/>
      <c r="DX153" s="54"/>
      <c r="DY153" s="63"/>
      <c r="DZ153" s="63"/>
      <c r="EA153" s="63"/>
      <c r="EB153" s="63"/>
      <c r="EC153" s="63"/>
      <c r="EE153" s="86"/>
      <c r="EF153" s="86"/>
      <c r="EG153" s="86"/>
      <c r="EI153" s="63"/>
      <c r="EN153" s="54"/>
      <c r="EQ153" s="86"/>
      <c r="ER153" s="86"/>
      <c r="EX153" s="54"/>
      <c r="FG153" s="86"/>
      <c r="FL153" s="45"/>
      <c r="FT153" s="63"/>
      <c r="FU153" s="54"/>
      <c r="FV153" s="54"/>
      <c r="FW153" s="54"/>
      <c r="FX153" s="86"/>
      <c r="FY153" s="86"/>
      <c r="FZ153" s="102"/>
      <c r="GA153" s="86"/>
      <c r="GB153" s="86"/>
      <c r="GD153" s="63"/>
      <c r="GE153" s="63"/>
      <c r="GF153" s="63"/>
      <c r="GG153" s="63"/>
      <c r="GH153" s="45"/>
      <c r="GI153" s="54"/>
      <c r="GJ153" s="54"/>
      <c r="GL153" s="86"/>
      <c r="GR153" s="86"/>
      <c r="GS153" s="86"/>
      <c r="GU153" s="63"/>
      <c r="GV153" s="63"/>
      <c r="GW153" s="63"/>
      <c r="GX153" s="63"/>
      <c r="GZ153" s="63"/>
      <c r="HA153" s="54"/>
      <c r="HD153" s="86"/>
      <c r="HI153" s="86"/>
      <c r="HJ153" s="86"/>
      <c r="HQ153" s="63"/>
      <c r="HR153" s="54"/>
      <c r="HU153" s="86"/>
      <c r="HZ153" s="86"/>
      <c r="IA153" s="86"/>
      <c r="IF153" s="54"/>
      <c r="IH153" s="89"/>
      <c r="IK153" s="86"/>
    </row>
    <row r="154" spans="1:245">
      <c r="A154" s="86">
        <v>124</v>
      </c>
      <c r="B154" s="117"/>
      <c r="C154" s="117"/>
      <c r="D154" s="117"/>
      <c r="E154" s="117"/>
      <c r="K154" s="117"/>
      <c r="L154" s="45"/>
      <c r="M154" s="45"/>
      <c r="N154" s="45"/>
      <c r="O154" s="45"/>
      <c r="P154" s="45"/>
      <c r="Q154" s="45"/>
      <c r="R154" s="45"/>
      <c r="S154" s="117"/>
      <c r="T154" s="117"/>
      <c r="U154" s="74"/>
      <c r="V154" s="74"/>
      <c r="W154" s="74"/>
      <c r="X154" s="74"/>
      <c r="Y154" s="74"/>
      <c r="Z154" s="74"/>
      <c r="AA154" s="74"/>
      <c r="AB154" s="74"/>
      <c r="AC154" s="117"/>
      <c r="AD154" s="117"/>
      <c r="AE154" s="117"/>
      <c r="AF154" s="117"/>
      <c r="AG154" s="117"/>
      <c r="AH154" s="117"/>
      <c r="AI154" s="117"/>
      <c r="AJ154" s="117"/>
      <c r="AK154" s="117"/>
      <c r="AL154" s="117"/>
      <c r="AM154" s="117"/>
      <c r="AN154" s="117"/>
      <c r="AO154" s="117"/>
      <c r="AP154" s="117"/>
      <c r="AQ154" s="117"/>
      <c r="AR154" s="300"/>
      <c r="AS154" s="300"/>
      <c r="AT154" s="86"/>
      <c r="AU154" s="162"/>
      <c r="AV154" s="162"/>
      <c r="AW154" s="162"/>
      <c r="AX154" s="162"/>
      <c r="AY154" s="162"/>
      <c r="BB154" s="45"/>
      <c r="BC154" s="45"/>
      <c r="BD154" s="117"/>
      <c r="BE154" s="117"/>
      <c r="BF154" s="99"/>
      <c r="BG154" s="99"/>
      <c r="BH154" s="74"/>
      <c r="BI154" s="117"/>
      <c r="BJ154" s="117"/>
      <c r="BK154" s="117"/>
      <c r="BL154" s="117"/>
      <c r="BM154" s="117"/>
      <c r="BN154" s="117"/>
      <c r="BO154" s="117"/>
      <c r="BP154" s="117"/>
      <c r="BQ154" s="117"/>
      <c r="BR154" s="117"/>
      <c r="BS154" s="117"/>
      <c r="BT154" s="117"/>
      <c r="BU154" s="117"/>
      <c r="BV154" s="117"/>
      <c r="BW154" s="117"/>
      <c r="BX154" s="102"/>
      <c r="BY154" s="102"/>
      <c r="CD154" s="102"/>
      <c r="CE154" s="102"/>
      <c r="CG154" s="86"/>
      <c r="CH154" s="86"/>
      <c r="CI154" s="86"/>
      <c r="CJ154" s="86"/>
      <c r="CL154" s="63"/>
      <c r="CM154" s="54"/>
      <c r="CN154" s="152"/>
      <c r="CO154" s="54"/>
      <c r="CP154" s="54"/>
      <c r="CQ154" s="86"/>
      <c r="CR154" s="63"/>
      <c r="CS154" s="63"/>
      <c r="CT154" s="63"/>
      <c r="CU154" s="63"/>
      <c r="CV154" s="86"/>
      <c r="CW154" s="86"/>
      <c r="CX154" s="86"/>
      <c r="DF154" s="54"/>
      <c r="DG154" s="54"/>
      <c r="DH154" s="63"/>
      <c r="DI154" s="63"/>
      <c r="DJ154" s="63"/>
      <c r="DK154" s="63"/>
      <c r="DL154" s="63"/>
      <c r="DN154" s="86"/>
      <c r="DO154" s="86"/>
      <c r="DP154" s="86"/>
      <c r="DR154" s="63"/>
      <c r="DW154" s="54"/>
      <c r="DX154" s="54"/>
      <c r="DY154" s="63"/>
      <c r="DZ154" s="63"/>
      <c r="EA154" s="63"/>
      <c r="EB154" s="63"/>
      <c r="EC154" s="63"/>
      <c r="EE154" s="86"/>
      <c r="EF154" s="86"/>
      <c r="EG154" s="86"/>
      <c r="EI154" s="63"/>
      <c r="EN154" s="54"/>
      <c r="EQ154" s="86"/>
      <c r="ER154" s="86"/>
      <c r="EX154" s="54"/>
      <c r="FG154" s="86"/>
      <c r="FL154" s="45"/>
      <c r="FT154" s="63"/>
      <c r="FU154" s="54"/>
      <c r="FV154" s="54"/>
      <c r="FW154" s="54"/>
      <c r="FX154" s="86"/>
      <c r="FY154" s="86"/>
      <c r="FZ154" s="102"/>
      <c r="GA154" s="86"/>
      <c r="GB154" s="86"/>
      <c r="GD154" s="63"/>
      <c r="GE154" s="63"/>
      <c r="GF154" s="63"/>
      <c r="GG154" s="63"/>
      <c r="GH154" s="45"/>
      <c r="GI154" s="54"/>
      <c r="GJ154" s="54"/>
      <c r="GL154" s="86"/>
      <c r="GR154" s="86"/>
      <c r="GS154" s="86"/>
      <c r="GU154" s="63"/>
      <c r="GV154" s="63"/>
      <c r="GW154" s="63"/>
      <c r="GX154" s="63"/>
      <c r="GZ154" s="63"/>
      <c r="HA154" s="54"/>
      <c r="HD154" s="86"/>
      <c r="HI154" s="86"/>
      <c r="HJ154" s="86"/>
      <c r="HQ154" s="63"/>
      <c r="HR154" s="54"/>
      <c r="HU154" s="86"/>
      <c r="HZ154" s="86"/>
      <c r="IA154" s="86"/>
      <c r="IF154" s="54"/>
      <c r="IH154" s="89"/>
      <c r="IK154" s="86"/>
    </row>
    <row r="155" spans="1:245">
      <c r="A155" s="86">
        <v>125</v>
      </c>
      <c r="B155" s="117"/>
      <c r="C155" s="117"/>
      <c r="D155" s="117"/>
      <c r="E155" s="117"/>
      <c r="K155" s="117"/>
      <c r="L155" s="45"/>
      <c r="M155" s="45"/>
      <c r="N155" s="45"/>
      <c r="O155" s="45"/>
      <c r="P155" s="45"/>
      <c r="Q155" s="45"/>
      <c r="R155" s="45"/>
      <c r="S155" s="117"/>
      <c r="T155" s="117"/>
      <c r="U155" s="74"/>
      <c r="V155" s="74"/>
      <c r="W155" s="74"/>
      <c r="X155" s="74"/>
      <c r="Y155" s="74"/>
      <c r="Z155" s="74"/>
      <c r="AA155" s="74"/>
      <c r="AB155" s="74"/>
      <c r="AC155" s="117"/>
      <c r="AD155" s="117"/>
      <c r="AE155" s="117"/>
      <c r="AF155" s="117"/>
      <c r="AG155" s="117"/>
      <c r="AH155" s="117"/>
      <c r="AI155" s="117"/>
      <c r="AJ155" s="117"/>
      <c r="AK155" s="117"/>
      <c r="AL155" s="117"/>
      <c r="AM155" s="117"/>
      <c r="AN155" s="117"/>
      <c r="AO155" s="117"/>
      <c r="AP155" s="117"/>
      <c r="AQ155" s="117"/>
      <c r="AR155" s="300"/>
      <c r="AS155" s="300"/>
      <c r="AT155" s="86"/>
      <c r="AU155" s="162"/>
      <c r="AV155" s="162"/>
      <c r="AW155" s="162"/>
      <c r="AX155" s="162"/>
      <c r="AY155" s="162"/>
      <c r="BB155" s="45"/>
      <c r="BC155" s="45"/>
      <c r="BD155" s="117"/>
      <c r="BE155" s="117"/>
      <c r="BF155" s="99"/>
      <c r="BG155" s="99"/>
      <c r="BH155" s="74"/>
      <c r="BI155" s="117"/>
      <c r="BJ155" s="117"/>
      <c r="BK155" s="117"/>
      <c r="BL155" s="117"/>
      <c r="BM155" s="117"/>
      <c r="BN155" s="117"/>
      <c r="BO155" s="117"/>
      <c r="BP155" s="117"/>
      <c r="BQ155" s="117"/>
      <c r="BR155" s="117"/>
      <c r="BS155" s="117"/>
      <c r="BT155" s="117"/>
      <c r="BU155" s="117"/>
      <c r="BV155" s="117"/>
      <c r="BW155" s="117"/>
      <c r="BX155" s="102"/>
      <c r="BY155" s="102"/>
      <c r="CD155" s="102"/>
      <c r="CE155" s="102"/>
      <c r="CG155" s="86"/>
      <c r="CH155" s="86"/>
      <c r="CI155" s="86"/>
      <c r="CJ155" s="86"/>
      <c r="CL155" s="63"/>
      <c r="CM155" s="54"/>
      <c r="CN155" s="152"/>
      <c r="CO155" s="54"/>
      <c r="CP155" s="54"/>
      <c r="CQ155" s="86"/>
      <c r="CR155" s="63"/>
      <c r="CS155" s="63"/>
      <c r="CT155" s="63"/>
      <c r="CU155" s="63"/>
      <c r="CV155" s="86"/>
      <c r="CW155" s="86"/>
      <c r="CX155" s="86"/>
      <c r="DF155" s="54"/>
      <c r="DG155" s="54"/>
      <c r="DH155" s="63"/>
      <c r="DI155" s="63"/>
      <c r="DJ155" s="63"/>
      <c r="DK155" s="63"/>
      <c r="DL155" s="63"/>
      <c r="DN155" s="86"/>
      <c r="DO155" s="86"/>
      <c r="DP155" s="86"/>
      <c r="DR155" s="63"/>
      <c r="DW155" s="54"/>
      <c r="DX155" s="54"/>
      <c r="DY155" s="63"/>
      <c r="DZ155" s="63"/>
      <c r="EA155" s="63"/>
      <c r="EB155" s="63"/>
      <c r="EC155" s="63"/>
      <c r="EE155" s="86"/>
      <c r="EF155" s="86"/>
      <c r="EG155" s="86"/>
      <c r="EI155" s="63"/>
      <c r="EN155" s="54"/>
      <c r="EQ155" s="86"/>
      <c r="ER155" s="86"/>
      <c r="EX155" s="54"/>
      <c r="FG155" s="86"/>
      <c r="FL155" s="45"/>
      <c r="FT155" s="63"/>
      <c r="FU155" s="54"/>
      <c r="FV155" s="54"/>
      <c r="FW155" s="54"/>
      <c r="FX155" s="86"/>
      <c r="FY155" s="86"/>
      <c r="FZ155" s="102"/>
      <c r="GA155" s="86"/>
      <c r="GB155" s="86"/>
      <c r="GD155" s="63"/>
      <c r="GE155" s="63"/>
      <c r="GF155" s="63"/>
      <c r="GG155" s="63"/>
      <c r="GH155" s="45"/>
      <c r="GI155" s="54"/>
      <c r="GJ155" s="54"/>
      <c r="GL155" s="86"/>
      <c r="GR155" s="86"/>
      <c r="GS155" s="86"/>
      <c r="GU155" s="63"/>
      <c r="GV155" s="63"/>
      <c r="GW155" s="63"/>
      <c r="GX155" s="63"/>
      <c r="GZ155" s="63"/>
      <c r="HA155" s="54"/>
      <c r="HD155" s="86"/>
      <c r="HI155" s="86"/>
      <c r="HJ155" s="86"/>
      <c r="HQ155" s="63"/>
      <c r="HR155" s="54"/>
      <c r="HU155" s="86"/>
      <c r="HZ155" s="86"/>
      <c r="IA155" s="86"/>
      <c r="IF155" s="54"/>
      <c r="IH155" s="89"/>
      <c r="IK155" s="86"/>
    </row>
    <row r="156" spans="1:245">
      <c r="A156" s="86">
        <v>126</v>
      </c>
      <c r="B156" s="117"/>
      <c r="C156" s="117"/>
      <c r="D156" s="117"/>
      <c r="E156" s="117"/>
      <c r="K156" s="117"/>
      <c r="L156" s="45"/>
      <c r="M156" s="45"/>
      <c r="N156" s="45"/>
      <c r="O156" s="45"/>
      <c r="P156" s="45"/>
      <c r="Q156" s="45"/>
      <c r="R156" s="45"/>
      <c r="S156" s="117"/>
      <c r="T156" s="117"/>
      <c r="U156" s="74"/>
      <c r="V156" s="74"/>
      <c r="W156" s="74"/>
      <c r="X156" s="74"/>
      <c r="Y156" s="74"/>
      <c r="Z156" s="74"/>
      <c r="AA156" s="74"/>
      <c r="AB156" s="74"/>
      <c r="AC156" s="117"/>
      <c r="AD156" s="117"/>
      <c r="AE156" s="117"/>
      <c r="AF156" s="117"/>
      <c r="AG156" s="117"/>
      <c r="AH156" s="117"/>
      <c r="AI156" s="117"/>
      <c r="AJ156" s="117"/>
      <c r="AK156" s="117"/>
      <c r="AL156" s="117"/>
      <c r="AM156" s="117"/>
      <c r="AN156" s="117"/>
      <c r="AO156" s="117"/>
      <c r="AP156" s="117"/>
      <c r="AQ156" s="117"/>
      <c r="AR156" s="300"/>
      <c r="AS156" s="300"/>
      <c r="AT156" s="86"/>
      <c r="AU156" s="162"/>
      <c r="AV156" s="162"/>
      <c r="AW156" s="162"/>
      <c r="AX156" s="162"/>
      <c r="AY156" s="162"/>
      <c r="BB156" s="45"/>
      <c r="BC156" s="45"/>
      <c r="BD156" s="117"/>
      <c r="BE156" s="117"/>
      <c r="BF156" s="99"/>
      <c r="BG156" s="99"/>
      <c r="BH156" s="74"/>
      <c r="BI156" s="117"/>
      <c r="BJ156" s="117"/>
      <c r="BK156" s="117"/>
      <c r="BL156" s="117"/>
      <c r="BM156" s="117"/>
      <c r="BN156" s="117"/>
      <c r="BO156" s="117"/>
      <c r="BP156" s="117"/>
      <c r="BQ156" s="117"/>
      <c r="BR156" s="117"/>
      <c r="BS156" s="117"/>
      <c r="BT156" s="117"/>
      <c r="BU156" s="117"/>
      <c r="BV156" s="117"/>
      <c r="BW156" s="117"/>
      <c r="BX156" s="102"/>
      <c r="BY156" s="102"/>
      <c r="CD156" s="102"/>
      <c r="CE156" s="102"/>
      <c r="CG156" s="86"/>
      <c r="CH156" s="86"/>
      <c r="CI156" s="86"/>
      <c r="CJ156" s="86"/>
      <c r="CL156" s="63"/>
      <c r="CM156" s="54"/>
      <c r="CN156" s="152"/>
      <c r="CO156" s="54"/>
      <c r="CP156" s="54"/>
      <c r="CQ156" s="86"/>
      <c r="CR156" s="63"/>
      <c r="CS156" s="63"/>
      <c r="CT156" s="63"/>
      <c r="CU156" s="63"/>
      <c r="CV156" s="86"/>
      <c r="CW156" s="86"/>
      <c r="CX156" s="86"/>
      <c r="DF156" s="54"/>
      <c r="DG156" s="54"/>
      <c r="DH156" s="63"/>
      <c r="DI156" s="63"/>
      <c r="DJ156" s="63"/>
      <c r="DK156" s="63"/>
      <c r="DL156" s="63"/>
      <c r="DN156" s="86"/>
      <c r="DO156" s="86"/>
      <c r="DP156" s="86"/>
      <c r="DR156" s="63"/>
      <c r="DW156" s="54"/>
      <c r="DX156" s="54"/>
      <c r="DY156" s="63"/>
      <c r="DZ156" s="63"/>
      <c r="EA156" s="63"/>
      <c r="EB156" s="63"/>
      <c r="EC156" s="63"/>
      <c r="EE156" s="86"/>
      <c r="EF156" s="86"/>
      <c r="EG156" s="86"/>
      <c r="EI156" s="63"/>
      <c r="EN156" s="54"/>
      <c r="EQ156" s="86"/>
      <c r="ER156" s="86"/>
      <c r="EX156" s="54"/>
      <c r="FG156" s="86"/>
      <c r="FL156" s="45"/>
      <c r="FT156" s="63"/>
      <c r="FU156" s="54"/>
      <c r="FV156" s="54"/>
      <c r="FW156" s="54"/>
      <c r="FX156" s="86"/>
      <c r="FY156" s="86"/>
      <c r="FZ156" s="102"/>
      <c r="GA156" s="86"/>
      <c r="GB156" s="86"/>
      <c r="GD156" s="63"/>
      <c r="GE156" s="63"/>
      <c r="GF156" s="63"/>
      <c r="GG156" s="63"/>
      <c r="GH156" s="45"/>
      <c r="GI156" s="54"/>
      <c r="GJ156" s="54"/>
      <c r="GL156" s="86"/>
      <c r="GR156" s="86"/>
      <c r="GS156" s="86"/>
      <c r="GU156" s="63"/>
      <c r="GV156" s="63"/>
      <c r="GW156" s="63"/>
      <c r="GX156" s="63"/>
      <c r="GZ156" s="63"/>
      <c r="HA156" s="54"/>
      <c r="HD156" s="86"/>
      <c r="HI156" s="86"/>
      <c r="HJ156" s="86"/>
      <c r="HQ156" s="63"/>
      <c r="HR156" s="54"/>
      <c r="HU156" s="86"/>
      <c r="HZ156" s="86"/>
      <c r="IA156" s="86"/>
      <c r="IF156" s="54"/>
      <c r="IH156" s="89"/>
      <c r="IK156" s="86"/>
    </row>
    <row r="157" spans="1:245">
      <c r="A157" s="86">
        <v>127</v>
      </c>
      <c r="B157" s="117"/>
      <c r="C157" s="117"/>
      <c r="D157" s="117"/>
      <c r="E157" s="117"/>
      <c r="K157" s="117"/>
      <c r="L157" s="45"/>
      <c r="M157" s="45"/>
      <c r="N157" s="45"/>
      <c r="O157" s="45"/>
      <c r="P157" s="45"/>
      <c r="Q157" s="45"/>
      <c r="R157" s="45"/>
      <c r="S157" s="117"/>
      <c r="T157" s="117"/>
      <c r="U157" s="74"/>
      <c r="V157" s="74"/>
      <c r="W157" s="74"/>
      <c r="X157" s="74"/>
      <c r="Y157" s="74"/>
      <c r="Z157" s="74"/>
      <c r="AA157" s="74"/>
      <c r="AB157" s="74"/>
      <c r="AC157" s="117"/>
      <c r="AD157" s="117"/>
      <c r="AE157" s="117"/>
      <c r="AF157" s="117"/>
      <c r="AG157" s="117"/>
      <c r="AH157" s="117"/>
      <c r="AI157" s="117"/>
      <c r="AJ157" s="117"/>
      <c r="AK157" s="117"/>
      <c r="AL157" s="117"/>
      <c r="AM157" s="117"/>
      <c r="AN157" s="117"/>
      <c r="AO157" s="117"/>
      <c r="AP157" s="117"/>
      <c r="AQ157" s="117"/>
      <c r="AR157" s="300"/>
      <c r="AS157" s="300"/>
      <c r="AT157" s="86"/>
      <c r="AU157" s="162"/>
      <c r="AV157" s="162"/>
      <c r="AW157" s="162"/>
      <c r="AX157" s="162"/>
      <c r="AY157" s="162"/>
      <c r="BB157" s="45"/>
      <c r="BC157" s="45"/>
      <c r="BD157" s="117"/>
      <c r="BE157" s="117"/>
      <c r="BF157" s="99"/>
      <c r="BG157" s="99"/>
      <c r="BH157" s="74"/>
      <c r="BI157" s="117"/>
      <c r="BJ157" s="117"/>
      <c r="BK157" s="117"/>
      <c r="BL157" s="117"/>
      <c r="BM157" s="117"/>
      <c r="BN157" s="117"/>
      <c r="BO157" s="117"/>
      <c r="BP157" s="117"/>
      <c r="BQ157" s="117"/>
      <c r="BR157" s="117"/>
      <c r="BS157" s="117"/>
      <c r="BT157" s="117"/>
      <c r="BU157" s="117"/>
      <c r="BV157" s="117"/>
      <c r="BW157" s="117"/>
      <c r="BX157" s="102"/>
      <c r="BY157" s="102"/>
      <c r="CD157" s="102"/>
      <c r="CE157" s="102"/>
      <c r="CG157" s="86"/>
      <c r="CH157" s="86"/>
      <c r="CI157" s="86"/>
      <c r="CJ157" s="86"/>
      <c r="CL157" s="63"/>
      <c r="CM157" s="54"/>
      <c r="CN157" s="152"/>
      <c r="CO157" s="54"/>
      <c r="CP157" s="54"/>
      <c r="CQ157" s="86"/>
      <c r="CR157" s="63"/>
      <c r="CS157" s="63"/>
      <c r="CT157" s="63"/>
      <c r="CU157" s="63"/>
      <c r="CV157" s="86"/>
      <c r="CW157" s="86"/>
      <c r="CX157" s="86"/>
      <c r="DF157" s="54"/>
      <c r="DG157" s="54"/>
      <c r="DH157" s="63"/>
      <c r="DI157" s="63"/>
      <c r="DJ157" s="63"/>
      <c r="DK157" s="63"/>
      <c r="DL157" s="63"/>
      <c r="DN157" s="86"/>
      <c r="DO157" s="86"/>
      <c r="DP157" s="86"/>
      <c r="DR157" s="63"/>
      <c r="DW157" s="54"/>
      <c r="DX157" s="54"/>
      <c r="DY157" s="63"/>
      <c r="DZ157" s="63"/>
      <c r="EA157" s="63"/>
      <c r="EB157" s="63"/>
      <c r="EC157" s="63"/>
      <c r="EE157" s="86"/>
      <c r="EF157" s="86"/>
      <c r="EG157" s="86"/>
      <c r="EI157" s="63"/>
      <c r="EN157" s="54"/>
      <c r="EQ157" s="86"/>
      <c r="ER157" s="86"/>
      <c r="EX157" s="54"/>
      <c r="FG157" s="86"/>
      <c r="FL157" s="45"/>
      <c r="FT157" s="63"/>
      <c r="FU157" s="54"/>
      <c r="FV157" s="54"/>
      <c r="FW157" s="54"/>
      <c r="FX157" s="86"/>
      <c r="FY157" s="86"/>
      <c r="FZ157" s="102"/>
      <c r="GA157" s="86"/>
      <c r="GB157" s="86"/>
      <c r="GD157" s="63"/>
      <c r="GE157" s="63"/>
      <c r="GF157" s="63"/>
      <c r="GG157" s="63"/>
      <c r="GH157" s="45"/>
      <c r="GI157" s="54"/>
      <c r="GJ157" s="54"/>
      <c r="GL157" s="86"/>
      <c r="GR157" s="86"/>
      <c r="GS157" s="86"/>
      <c r="GU157" s="63"/>
      <c r="GV157" s="63"/>
      <c r="GW157" s="63"/>
      <c r="GX157" s="63"/>
      <c r="GZ157" s="63"/>
      <c r="HA157" s="54"/>
      <c r="HD157" s="86"/>
      <c r="HI157" s="86"/>
      <c r="HJ157" s="86"/>
      <c r="HQ157" s="63"/>
      <c r="HR157" s="54"/>
      <c r="HU157" s="86"/>
      <c r="HZ157" s="86"/>
      <c r="IA157" s="86"/>
      <c r="IF157" s="54"/>
      <c r="IH157" s="89"/>
      <c r="IK157" s="86"/>
    </row>
    <row r="158" spans="1:245">
      <c r="A158" s="86">
        <v>128</v>
      </c>
      <c r="B158" s="117"/>
      <c r="C158" s="117"/>
      <c r="D158" s="117"/>
      <c r="E158" s="117"/>
      <c r="K158" s="117"/>
      <c r="L158" s="45"/>
      <c r="M158" s="45"/>
      <c r="N158" s="45"/>
      <c r="O158" s="45"/>
      <c r="P158" s="45"/>
      <c r="Q158" s="45"/>
      <c r="R158" s="45"/>
      <c r="S158" s="117"/>
      <c r="T158" s="117"/>
      <c r="U158" s="74"/>
      <c r="V158" s="74"/>
      <c r="W158" s="74"/>
      <c r="X158" s="74"/>
      <c r="Y158" s="74"/>
      <c r="Z158" s="74"/>
      <c r="AA158" s="74"/>
      <c r="AB158" s="74"/>
      <c r="AC158" s="117"/>
      <c r="AD158" s="117"/>
      <c r="AE158" s="117"/>
      <c r="AF158" s="117"/>
      <c r="AG158" s="117"/>
      <c r="AH158" s="117"/>
      <c r="AI158" s="117"/>
      <c r="AJ158" s="117"/>
      <c r="AK158" s="117"/>
      <c r="AL158" s="117"/>
      <c r="AM158" s="117"/>
      <c r="AN158" s="117"/>
      <c r="AO158" s="117"/>
      <c r="AP158" s="117"/>
      <c r="AQ158" s="117"/>
      <c r="AR158" s="300"/>
      <c r="AS158" s="300"/>
      <c r="AT158" s="86"/>
      <c r="AU158" s="162"/>
      <c r="AV158" s="162"/>
      <c r="AW158" s="162"/>
      <c r="AX158" s="162"/>
      <c r="AY158" s="162"/>
      <c r="BB158" s="45"/>
      <c r="BC158" s="45"/>
      <c r="BD158" s="117"/>
      <c r="BE158" s="117"/>
      <c r="BF158" s="99"/>
      <c r="BG158" s="99"/>
      <c r="BH158" s="74"/>
      <c r="BI158" s="117"/>
      <c r="BJ158" s="117"/>
      <c r="BK158" s="117"/>
      <c r="BL158" s="117"/>
      <c r="BM158" s="117"/>
      <c r="BN158" s="117"/>
      <c r="BO158" s="117"/>
      <c r="BP158" s="117"/>
      <c r="BQ158" s="117"/>
      <c r="BR158" s="117"/>
      <c r="BS158" s="117"/>
      <c r="BT158" s="117"/>
      <c r="BU158" s="117"/>
      <c r="BV158" s="117"/>
      <c r="BW158" s="117"/>
      <c r="BX158" s="102"/>
      <c r="BY158" s="102"/>
      <c r="CD158" s="102"/>
      <c r="CE158" s="102"/>
      <c r="CG158" s="86"/>
      <c r="CH158" s="86"/>
      <c r="CI158" s="86"/>
      <c r="CJ158" s="86"/>
      <c r="CL158" s="63"/>
      <c r="CM158" s="54"/>
      <c r="CN158" s="152"/>
      <c r="CO158" s="54"/>
      <c r="CP158" s="54"/>
      <c r="CQ158" s="86"/>
      <c r="CR158" s="63"/>
      <c r="CS158" s="63"/>
      <c r="CT158" s="63"/>
      <c r="CU158" s="63"/>
      <c r="CV158" s="86"/>
      <c r="CW158" s="86"/>
      <c r="CX158" s="86"/>
      <c r="DF158" s="54"/>
      <c r="DG158" s="54"/>
      <c r="DH158" s="63"/>
      <c r="DI158" s="63"/>
      <c r="DJ158" s="63"/>
      <c r="DK158" s="63"/>
      <c r="DL158" s="63"/>
      <c r="DN158" s="86"/>
      <c r="DO158" s="86"/>
      <c r="DP158" s="86"/>
      <c r="DR158" s="63"/>
      <c r="DW158" s="54"/>
      <c r="DX158" s="54"/>
      <c r="DY158" s="63"/>
      <c r="DZ158" s="63"/>
      <c r="EA158" s="63"/>
      <c r="EB158" s="63"/>
      <c r="EC158" s="63"/>
      <c r="EE158" s="86"/>
      <c r="EF158" s="86"/>
      <c r="EG158" s="86"/>
      <c r="EI158" s="63"/>
      <c r="EN158" s="54"/>
      <c r="EQ158" s="86"/>
      <c r="ER158" s="86"/>
      <c r="EX158" s="54"/>
      <c r="FG158" s="86"/>
      <c r="FL158" s="45"/>
      <c r="FT158" s="63"/>
      <c r="FU158" s="54"/>
      <c r="FV158" s="54"/>
      <c r="FW158" s="54"/>
      <c r="FX158" s="86"/>
      <c r="FY158" s="86"/>
      <c r="FZ158" s="102"/>
      <c r="GA158" s="86"/>
      <c r="GB158" s="86"/>
      <c r="GD158" s="63"/>
      <c r="GE158" s="63"/>
      <c r="GF158" s="63"/>
      <c r="GG158" s="63"/>
      <c r="GH158" s="45"/>
      <c r="GI158" s="54"/>
      <c r="GJ158" s="54"/>
      <c r="GL158" s="86"/>
      <c r="GR158" s="86"/>
      <c r="GS158" s="86"/>
      <c r="GU158" s="63"/>
      <c r="GV158" s="63"/>
      <c r="GW158" s="63"/>
      <c r="GX158" s="63"/>
      <c r="GZ158" s="63"/>
      <c r="HA158" s="54"/>
      <c r="HD158" s="86"/>
      <c r="HI158" s="86"/>
      <c r="HJ158" s="86"/>
      <c r="HQ158" s="63"/>
      <c r="HR158" s="54"/>
      <c r="HU158" s="86"/>
      <c r="HZ158" s="86"/>
      <c r="IA158" s="86"/>
      <c r="IF158" s="54"/>
      <c r="IH158" s="89"/>
      <c r="IK158" s="86"/>
    </row>
    <row r="159" spans="1:245">
      <c r="A159" s="86">
        <v>129</v>
      </c>
      <c r="B159" s="117"/>
      <c r="C159" s="117"/>
      <c r="D159" s="117"/>
      <c r="E159" s="117"/>
      <c r="K159" s="117"/>
      <c r="L159" s="45"/>
      <c r="M159" s="45"/>
      <c r="N159" s="45"/>
      <c r="O159" s="45"/>
      <c r="P159" s="45"/>
      <c r="Q159" s="45"/>
      <c r="R159" s="45"/>
      <c r="S159" s="117"/>
      <c r="T159" s="117"/>
      <c r="U159" s="74"/>
      <c r="V159" s="74"/>
      <c r="W159" s="74"/>
      <c r="X159" s="74"/>
      <c r="Y159" s="74"/>
      <c r="Z159" s="74"/>
      <c r="AA159" s="74"/>
      <c r="AB159" s="74"/>
      <c r="AC159" s="117"/>
      <c r="AD159" s="117"/>
      <c r="AE159" s="117"/>
      <c r="AF159" s="117"/>
      <c r="AG159" s="117"/>
      <c r="AH159" s="117"/>
      <c r="AI159" s="117"/>
      <c r="AJ159" s="117"/>
      <c r="AK159" s="117"/>
      <c r="AL159" s="117"/>
      <c r="AM159" s="117"/>
      <c r="AN159" s="117"/>
      <c r="AO159" s="117"/>
      <c r="AP159" s="117"/>
      <c r="AQ159" s="117"/>
      <c r="AR159" s="300"/>
      <c r="AS159" s="300"/>
      <c r="AT159" s="86"/>
      <c r="AU159" s="162"/>
      <c r="AV159" s="162"/>
      <c r="AW159" s="162"/>
      <c r="AX159" s="162"/>
      <c r="AY159" s="162"/>
      <c r="BB159" s="45"/>
      <c r="BC159" s="45"/>
      <c r="BD159" s="117"/>
      <c r="BE159" s="117"/>
      <c r="BF159" s="99"/>
      <c r="BG159" s="99"/>
      <c r="BH159" s="74"/>
      <c r="BI159" s="117"/>
      <c r="BJ159" s="117"/>
      <c r="BK159" s="117"/>
      <c r="BL159" s="117"/>
      <c r="BM159" s="117"/>
      <c r="BN159" s="117"/>
      <c r="BO159" s="117"/>
      <c r="BP159" s="117"/>
      <c r="BQ159" s="117"/>
      <c r="BR159" s="117"/>
      <c r="BS159" s="117"/>
      <c r="BT159" s="117"/>
      <c r="BU159" s="117"/>
      <c r="BV159" s="117"/>
      <c r="BW159" s="117"/>
      <c r="BX159" s="102"/>
      <c r="BY159" s="102"/>
      <c r="CD159" s="102"/>
      <c r="CE159" s="102"/>
      <c r="CG159" s="86"/>
      <c r="CH159" s="86"/>
      <c r="CI159" s="86"/>
      <c r="CJ159" s="86"/>
      <c r="CL159" s="63"/>
      <c r="CM159" s="54"/>
      <c r="CN159" s="152"/>
      <c r="CO159" s="54"/>
      <c r="CP159" s="54"/>
      <c r="CQ159" s="86"/>
      <c r="CR159" s="63"/>
      <c r="CS159" s="63"/>
      <c r="CT159" s="63"/>
      <c r="CU159" s="63"/>
      <c r="CV159" s="86"/>
      <c r="CW159" s="86"/>
      <c r="CX159" s="86"/>
      <c r="DF159" s="54"/>
      <c r="DG159" s="54"/>
      <c r="DH159" s="63"/>
      <c r="DI159" s="63"/>
      <c r="DJ159" s="63"/>
      <c r="DK159" s="63"/>
      <c r="DL159" s="63"/>
      <c r="DN159" s="86"/>
      <c r="DO159" s="86"/>
      <c r="DP159" s="86"/>
      <c r="DR159" s="63"/>
      <c r="DW159" s="54"/>
      <c r="DX159" s="54"/>
      <c r="DY159" s="63"/>
      <c r="DZ159" s="63"/>
      <c r="EA159" s="63"/>
      <c r="EB159" s="63"/>
      <c r="EC159" s="63"/>
      <c r="EE159" s="86"/>
      <c r="EF159" s="86"/>
      <c r="EG159" s="86"/>
      <c r="EI159" s="63"/>
      <c r="EN159" s="54"/>
      <c r="EQ159" s="86"/>
      <c r="ER159" s="86"/>
      <c r="EX159" s="54"/>
      <c r="FG159" s="86"/>
      <c r="FL159" s="45"/>
      <c r="FT159" s="63"/>
      <c r="FU159" s="54"/>
      <c r="FV159" s="54"/>
      <c r="FW159" s="54"/>
      <c r="FX159" s="86"/>
      <c r="FY159" s="86"/>
      <c r="FZ159" s="102"/>
      <c r="GA159" s="86"/>
      <c r="GB159" s="86"/>
      <c r="GD159" s="63"/>
      <c r="GE159" s="63"/>
      <c r="GF159" s="63"/>
      <c r="GG159" s="63"/>
      <c r="GH159" s="45"/>
      <c r="GI159" s="54"/>
      <c r="GJ159" s="54"/>
      <c r="GL159" s="86"/>
      <c r="GR159" s="86"/>
      <c r="GS159" s="86"/>
      <c r="GU159" s="63"/>
      <c r="GV159" s="63"/>
      <c r="GW159" s="63"/>
      <c r="GX159" s="63"/>
      <c r="GZ159" s="63"/>
      <c r="HA159" s="54"/>
      <c r="HD159" s="86"/>
      <c r="HI159" s="86"/>
      <c r="HJ159" s="86"/>
      <c r="HQ159" s="63"/>
      <c r="HR159" s="54"/>
      <c r="HU159" s="86"/>
      <c r="HZ159" s="86"/>
      <c r="IA159" s="86"/>
      <c r="IF159" s="54"/>
      <c r="IH159" s="89"/>
      <c r="IK159" s="86"/>
    </row>
    <row r="160" spans="1:245">
      <c r="A160" s="86">
        <v>130</v>
      </c>
      <c r="B160" s="117"/>
      <c r="C160" s="117"/>
      <c r="D160" s="117"/>
      <c r="E160" s="117"/>
      <c r="K160" s="117"/>
      <c r="L160" s="45"/>
      <c r="M160" s="45"/>
      <c r="N160" s="45"/>
      <c r="O160" s="45"/>
      <c r="P160" s="45"/>
      <c r="Q160" s="45"/>
      <c r="R160" s="45"/>
      <c r="S160" s="117"/>
      <c r="T160" s="117"/>
      <c r="U160" s="74"/>
      <c r="V160" s="74"/>
      <c r="W160" s="74"/>
      <c r="X160" s="74"/>
      <c r="Y160" s="74"/>
      <c r="Z160" s="74"/>
      <c r="AA160" s="74"/>
      <c r="AB160" s="74"/>
      <c r="AC160" s="117"/>
      <c r="AD160" s="117"/>
      <c r="AE160" s="117"/>
      <c r="AF160" s="117"/>
      <c r="AG160" s="117"/>
      <c r="AH160" s="117"/>
      <c r="AI160" s="117"/>
      <c r="AJ160" s="117"/>
      <c r="AK160" s="117"/>
      <c r="AL160" s="117"/>
      <c r="AM160" s="117"/>
      <c r="AN160" s="117"/>
      <c r="AO160" s="117"/>
      <c r="AP160" s="117"/>
      <c r="AQ160" s="117"/>
      <c r="AR160" s="300"/>
      <c r="AS160" s="300"/>
      <c r="AT160" s="86"/>
      <c r="AU160" s="162"/>
      <c r="AV160" s="162"/>
      <c r="AW160" s="162"/>
      <c r="AX160" s="162"/>
      <c r="AY160" s="162"/>
      <c r="BB160" s="45"/>
      <c r="BC160" s="45"/>
      <c r="BD160" s="117"/>
      <c r="BE160" s="117"/>
      <c r="BF160" s="99"/>
      <c r="BG160" s="99"/>
      <c r="BH160" s="74"/>
      <c r="BI160" s="117"/>
      <c r="BJ160" s="117"/>
      <c r="BK160" s="117"/>
      <c r="BL160" s="117"/>
      <c r="BM160" s="117"/>
      <c r="BN160" s="117"/>
      <c r="BO160" s="117"/>
      <c r="BP160" s="117"/>
      <c r="BQ160" s="117"/>
      <c r="BR160" s="117"/>
      <c r="BS160" s="117"/>
      <c r="BT160" s="117"/>
      <c r="BU160" s="117"/>
      <c r="BV160" s="117"/>
      <c r="BW160" s="117"/>
      <c r="BX160" s="102"/>
      <c r="BY160" s="102"/>
      <c r="CD160" s="102"/>
      <c r="CE160" s="102"/>
      <c r="CG160" s="86"/>
      <c r="CH160" s="86"/>
      <c r="CI160" s="86"/>
      <c r="CJ160" s="86"/>
      <c r="CL160" s="63"/>
      <c r="CM160" s="54"/>
      <c r="CN160" s="152"/>
      <c r="CO160" s="54"/>
      <c r="CP160" s="54"/>
      <c r="CQ160" s="86"/>
      <c r="CR160" s="63"/>
      <c r="CS160" s="63"/>
      <c r="CT160" s="63"/>
      <c r="CU160" s="63"/>
      <c r="CV160" s="86"/>
      <c r="CW160" s="86"/>
      <c r="CX160" s="86"/>
      <c r="DF160" s="54"/>
      <c r="DG160" s="54"/>
      <c r="DH160" s="63"/>
      <c r="DI160" s="63"/>
      <c r="DJ160" s="63"/>
      <c r="DK160" s="63"/>
      <c r="DL160" s="63"/>
      <c r="DN160" s="86"/>
      <c r="DO160" s="86"/>
      <c r="DP160" s="86"/>
      <c r="DR160" s="63"/>
      <c r="DW160" s="54"/>
      <c r="DX160" s="54"/>
      <c r="DY160" s="63"/>
      <c r="DZ160" s="63"/>
      <c r="EA160" s="63"/>
      <c r="EB160" s="63"/>
      <c r="EC160" s="63"/>
      <c r="EE160" s="86"/>
      <c r="EF160" s="86"/>
      <c r="EG160" s="86"/>
      <c r="EI160" s="63"/>
      <c r="EN160" s="54"/>
      <c r="EQ160" s="86"/>
      <c r="ER160" s="86"/>
      <c r="EX160" s="54"/>
      <c r="FG160" s="86"/>
      <c r="FL160" s="45"/>
      <c r="FT160" s="63"/>
      <c r="FU160" s="54"/>
      <c r="FV160" s="54"/>
      <c r="FW160" s="54"/>
      <c r="FX160" s="86"/>
      <c r="FY160" s="86"/>
      <c r="FZ160" s="102"/>
      <c r="GA160" s="86"/>
      <c r="GB160" s="86"/>
      <c r="GD160" s="63"/>
      <c r="GE160" s="63"/>
      <c r="GF160" s="63"/>
      <c r="GG160" s="63"/>
      <c r="GH160" s="45"/>
      <c r="GI160" s="54"/>
      <c r="GJ160" s="54"/>
      <c r="GL160" s="86"/>
      <c r="GR160" s="86"/>
      <c r="GS160" s="86"/>
      <c r="GU160" s="63"/>
      <c r="GV160" s="63"/>
      <c r="GW160" s="63"/>
      <c r="GX160" s="63"/>
      <c r="GZ160" s="63"/>
      <c r="HA160" s="54"/>
      <c r="HD160" s="86"/>
      <c r="HI160" s="86"/>
      <c r="HJ160" s="86"/>
      <c r="HQ160" s="63"/>
      <c r="HR160" s="54"/>
      <c r="HU160" s="86"/>
      <c r="HZ160" s="86"/>
      <c r="IA160" s="86"/>
      <c r="IF160" s="54"/>
      <c r="IH160" s="89"/>
      <c r="IK160" s="86"/>
    </row>
    <row r="161" spans="1:245">
      <c r="A161" s="86">
        <v>131</v>
      </c>
      <c r="B161" s="117"/>
      <c r="C161" s="117"/>
      <c r="D161" s="117"/>
      <c r="E161" s="117"/>
      <c r="K161" s="117"/>
      <c r="L161" s="45"/>
      <c r="M161" s="45"/>
      <c r="N161" s="45"/>
      <c r="O161" s="45"/>
      <c r="P161" s="45"/>
      <c r="Q161" s="45"/>
      <c r="R161" s="45"/>
      <c r="S161" s="117"/>
      <c r="T161" s="117"/>
      <c r="U161" s="74"/>
      <c r="V161" s="74"/>
      <c r="W161" s="74"/>
      <c r="X161" s="74"/>
      <c r="Y161" s="74"/>
      <c r="Z161" s="74"/>
      <c r="AA161" s="74"/>
      <c r="AB161" s="74"/>
      <c r="AC161" s="117"/>
      <c r="AD161" s="117"/>
      <c r="AE161" s="117"/>
      <c r="AF161" s="117"/>
      <c r="AG161" s="117"/>
      <c r="AH161" s="117"/>
      <c r="AI161" s="117"/>
      <c r="AJ161" s="117"/>
      <c r="AK161" s="117"/>
      <c r="AL161" s="117"/>
      <c r="AM161" s="117"/>
      <c r="AN161" s="117"/>
      <c r="AO161" s="117"/>
      <c r="AP161" s="117"/>
      <c r="AQ161" s="117"/>
      <c r="AR161" s="300"/>
      <c r="AS161" s="300"/>
      <c r="AT161" s="86"/>
      <c r="AU161" s="162"/>
      <c r="AV161" s="162"/>
      <c r="AW161" s="162"/>
      <c r="AX161" s="162"/>
      <c r="AY161" s="162"/>
      <c r="BB161" s="45"/>
      <c r="BC161" s="45"/>
      <c r="BD161" s="117"/>
      <c r="BE161" s="117"/>
      <c r="BF161" s="99"/>
      <c r="BG161" s="99"/>
      <c r="BH161" s="74"/>
      <c r="BI161" s="117"/>
      <c r="BJ161" s="117"/>
      <c r="BK161" s="117"/>
      <c r="BL161" s="117"/>
      <c r="BM161" s="117"/>
      <c r="BN161" s="117"/>
      <c r="BO161" s="117"/>
      <c r="BP161" s="117"/>
      <c r="BQ161" s="117"/>
      <c r="BR161" s="117"/>
      <c r="BS161" s="117"/>
      <c r="BT161" s="117"/>
      <c r="BU161" s="117"/>
      <c r="BV161" s="117"/>
      <c r="BW161" s="117"/>
      <c r="BX161" s="102"/>
      <c r="BY161" s="102"/>
      <c r="CD161" s="102"/>
      <c r="CE161" s="102"/>
      <c r="CG161" s="86"/>
      <c r="CH161" s="86"/>
      <c r="CI161" s="86"/>
      <c r="CJ161" s="86"/>
      <c r="CL161" s="63"/>
      <c r="CM161" s="54"/>
      <c r="CN161" s="152"/>
      <c r="CO161" s="54"/>
      <c r="CP161" s="54"/>
      <c r="CQ161" s="86"/>
      <c r="CR161" s="63"/>
      <c r="CS161" s="63"/>
      <c r="CT161" s="63"/>
      <c r="CU161" s="63"/>
      <c r="CV161" s="86"/>
      <c r="CW161" s="86"/>
      <c r="CX161" s="86"/>
      <c r="DF161" s="54"/>
      <c r="DG161" s="54"/>
      <c r="DH161" s="63"/>
      <c r="DI161" s="63"/>
      <c r="DJ161" s="63"/>
      <c r="DK161" s="63"/>
      <c r="DL161" s="63"/>
      <c r="DN161" s="86"/>
      <c r="DO161" s="86"/>
      <c r="DP161" s="86"/>
      <c r="DR161" s="63"/>
      <c r="DW161" s="54"/>
      <c r="DX161" s="54"/>
      <c r="DY161" s="63"/>
      <c r="DZ161" s="63"/>
      <c r="EA161" s="63"/>
      <c r="EB161" s="63"/>
      <c r="EC161" s="63"/>
      <c r="EE161" s="86"/>
      <c r="EF161" s="86"/>
      <c r="EG161" s="86"/>
      <c r="EI161" s="63"/>
      <c r="EN161" s="54"/>
      <c r="EQ161" s="86"/>
      <c r="ER161" s="86"/>
      <c r="EX161" s="54"/>
      <c r="FG161" s="86"/>
      <c r="FL161" s="45"/>
      <c r="FT161" s="63"/>
      <c r="FU161" s="54"/>
      <c r="FV161" s="54"/>
      <c r="FW161" s="54"/>
      <c r="FX161" s="86"/>
      <c r="FY161" s="86"/>
      <c r="FZ161" s="102"/>
      <c r="GA161" s="86"/>
      <c r="GB161" s="86"/>
      <c r="GD161" s="63"/>
      <c r="GE161" s="63"/>
      <c r="GF161" s="63"/>
      <c r="GG161" s="63"/>
      <c r="GH161" s="45"/>
      <c r="GI161" s="54"/>
      <c r="GJ161" s="54"/>
      <c r="GL161" s="86"/>
      <c r="GR161" s="86"/>
      <c r="GS161" s="86"/>
      <c r="GU161" s="63"/>
      <c r="GV161" s="63"/>
      <c r="GW161" s="63"/>
      <c r="GX161" s="63"/>
      <c r="GZ161" s="63"/>
      <c r="HA161" s="54"/>
      <c r="HD161" s="86"/>
      <c r="HI161" s="86"/>
      <c r="HJ161" s="86"/>
      <c r="HQ161" s="63"/>
      <c r="HR161" s="54"/>
      <c r="HU161" s="86"/>
      <c r="HZ161" s="86"/>
      <c r="IA161" s="86"/>
      <c r="IF161" s="54"/>
      <c r="IH161" s="89"/>
      <c r="IK161" s="86"/>
    </row>
    <row r="162" spans="1:245">
      <c r="A162" s="86">
        <v>132</v>
      </c>
      <c r="B162" s="117"/>
      <c r="C162" s="117"/>
      <c r="D162" s="117"/>
      <c r="E162" s="117"/>
      <c r="K162" s="117"/>
      <c r="L162" s="45"/>
      <c r="M162" s="45"/>
      <c r="N162" s="45"/>
      <c r="O162" s="45"/>
      <c r="P162" s="45"/>
      <c r="Q162" s="45"/>
      <c r="R162" s="45"/>
      <c r="S162" s="117"/>
      <c r="T162" s="117"/>
      <c r="U162" s="74"/>
      <c r="V162" s="74"/>
      <c r="W162" s="74"/>
      <c r="X162" s="74"/>
      <c r="Y162" s="74"/>
      <c r="Z162" s="74"/>
      <c r="AA162" s="74"/>
      <c r="AB162" s="74"/>
      <c r="AC162" s="117"/>
      <c r="AD162" s="117"/>
      <c r="AE162" s="117"/>
      <c r="AF162" s="117"/>
      <c r="AG162" s="117"/>
      <c r="AH162" s="117"/>
      <c r="AI162" s="117"/>
      <c r="AJ162" s="117"/>
      <c r="AK162" s="117"/>
      <c r="AL162" s="117"/>
      <c r="AM162" s="117"/>
      <c r="AN162" s="117"/>
      <c r="AO162" s="117"/>
      <c r="AP162" s="117"/>
      <c r="AQ162" s="117"/>
      <c r="AR162" s="300"/>
      <c r="AS162" s="300"/>
      <c r="AT162" s="86"/>
      <c r="AU162" s="162"/>
      <c r="AV162" s="162"/>
      <c r="AW162" s="162"/>
      <c r="AX162" s="162"/>
      <c r="AY162" s="162"/>
      <c r="BB162" s="45"/>
      <c r="BC162" s="45"/>
      <c r="BD162" s="117"/>
      <c r="BE162" s="117"/>
      <c r="BF162" s="99"/>
      <c r="BG162" s="99"/>
      <c r="BH162" s="74"/>
      <c r="BI162" s="117"/>
      <c r="BJ162" s="117"/>
      <c r="BK162" s="117"/>
      <c r="BL162" s="117"/>
      <c r="BM162" s="117"/>
      <c r="BN162" s="117"/>
      <c r="BO162" s="117"/>
      <c r="BP162" s="117"/>
      <c r="BQ162" s="117"/>
      <c r="BR162" s="117"/>
      <c r="BS162" s="117"/>
      <c r="BT162" s="117"/>
      <c r="BU162" s="117"/>
      <c r="BV162" s="117"/>
      <c r="BW162" s="117"/>
      <c r="BX162" s="102"/>
      <c r="BY162" s="102"/>
      <c r="CD162" s="102"/>
      <c r="CE162" s="102"/>
      <c r="CG162" s="86"/>
      <c r="CH162" s="86"/>
      <c r="CI162" s="86"/>
      <c r="CJ162" s="86"/>
      <c r="CL162" s="63"/>
      <c r="CM162" s="54"/>
      <c r="CN162" s="152"/>
      <c r="CO162" s="54"/>
      <c r="CP162" s="54"/>
      <c r="CQ162" s="86"/>
      <c r="CR162" s="63"/>
      <c r="CS162" s="63"/>
      <c r="CT162" s="63"/>
      <c r="CU162" s="63"/>
      <c r="CV162" s="86"/>
      <c r="CW162" s="86"/>
      <c r="CX162" s="86"/>
      <c r="DF162" s="54"/>
      <c r="DG162" s="54"/>
      <c r="DH162" s="63"/>
      <c r="DI162" s="63"/>
      <c r="DJ162" s="63"/>
      <c r="DK162" s="63"/>
      <c r="DL162" s="63"/>
      <c r="DN162" s="86"/>
      <c r="DO162" s="86"/>
      <c r="DP162" s="86"/>
      <c r="DR162" s="63"/>
      <c r="DW162" s="54"/>
      <c r="DX162" s="54"/>
      <c r="DY162" s="63"/>
      <c r="DZ162" s="63"/>
      <c r="EA162" s="63"/>
      <c r="EB162" s="63"/>
      <c r="EC162" s="63"/>
      <c r="EE162" s="86"/>
      <c r="EF162" s="86"/>
      <c r="EG162" s="86"/>
      <c r="EI162" s="63"/>
      <c r="EN162" s="54"/>
      <c r="EQ162" s="86"/>
      <c r="ER162" s="86"/>
      <c r="EX162" s="54"/>
      <c r="FG162" s="86"/>
      <c r="FL162" s="45"/>
      <c r="FT162" s="63"/>
      <c r="FU162" s="54"/>
      <c r="FV162" s="54"/>
      <c r="FW162" s="54"/>
      <c r="FX162" s="86"/>
      <c r="FY162" s="86"/>
      <c r="FZ162" s="102"/>
      <c r="GA162" s="86"/>
      <c r="GB162" s="86"/>
      <c r="GD162" s="63"/>
      <c r="GE162" s="63"/>
      <c r="GF162" s="63"/>
      <c r="GG162" s="63"/>
      <c r="GH162" s="45"/>
      <c r="GI162" s="54"/>
      <c r="GJ162" s="54"/>
      <c r="GL162" s="86"/>
      <c r="GR162" s="86"/>
      <c r="GS162" s="86"/>
      <c r="GU162" s="63"/>
      <c r="GV162" s="63"/>
      <c r="GW162" s="63"/>
      <c r="GX162" s="63"/>
      <c r="GZ162" s="63"/>
      <c r="HA162" s="54"/>
      <c r="HD162" s="86"/>
      <c r="HI162" s="86"/>
      <c r="HJ162" s="86"/>
      <c r="HQ162" s="63"/>
      <c r="HR162" s="54"/>
      <c r="HU162" s="86"/>
      <c r="HZ162" s="86"/>
      <c r="IA162" s="86"/>
      <c r="IF162" s="54"/>
      <c r="IH162" s="89"/>
      <c r="IK162" s="86"/>
    </row>
    <row r="163" spans="1:245">
      <c r="A163" s="86">
        <v>133</v>
      </c>
      <c r="B163" s="117"/>
      <c r="C163" s="117"/>
      <c r="D163" s="117"/>
      <c r="E163" s="117"/>
      <c r="K163" s="117"/>
      <c r="L163" s="45"/>
      <c r="M163" s="45"/>
      <c r="N163" s="45"/>
      <c r="O163" s="45"/>
      <c r="P163" s="45"/>
      <c r="Q163" s="45"/>
      <c r="R163" s="45"/>
      <c r="S163" s="117"/>
      <c r="T163" s="117"/>
      <c r="U163" s="74"/>
      <c r="V163" s="74"/>
      <c r="W163" s="74"/>
      <c r="X163" s="74"/>
      <c r="Y163" s="74"/>
      <c r="Z163" s="74"/>
      <c r="AA163" s="74"/>
      <c r="AB163" s="74"/>
      <c r="AC163" s="117"/>
      <c r="AD163" s="117"/>
      <c r="AE163" s="117"/>
      <c r="AF163" s="117"/>
      <c r="AG163" s="117"/>
      <c r="AH163" s="117"/>
      <c r="AI163" s="117"/>
      <c r="AJ163" s="117"/>
      <c r="AK163" s="117"/>
      <c r="AL163" s="117"/>
      <c r="AM163" s="117"/>
      <c r="AN163" s="117"/>
      <c r="AO163" s="117"/>
      <c r="AP163" s="117"/>
      <c r="AQ163" s="117"/>
      <c r="AR163" s="300"/>
      <c r="AS163" s="300"/>
      <c r="AT163" s="86"/>
      <c r="AU163" s="162"/>
      <c r="AV163" s="162"/>
      <c r="AW163" s="162"/>
      <c r="AX163" s="162"/>
      <c r="AY163" s="162"/>
      <c r="BB163" s="45"/>
      <c r="BC163" s="45"/>
      <c r="BD163" s="117"/>
      <c r="BE163" s="117"/>
      <c r="BF163" s="99"/>
      <c r="BG163" s="99"/>
      <c r="BH163" s="74"/>
      <c r="BI163" s="117"/>
      <c r="BJ163" s="117"/>
      <c r="BK163" s="117"/>
      <c r="BL163" s="117"/>
      <c r="BM163" s="117"/>
      <c r="BN163" s="117"/>
      <c r="BO163" s="117"/>
      <c r="BP163" s="117"/>
      <c r="BQ163" s="117"/>
      <c r="BR163" s="117"/>
      <c r="BS163" s="117"/>
      <c r="BT163" s="117"/>
      <c r="BU163" s="117"/>
      <c r="BV163" s="117"/>
      <c r="BW163" s="117"/>
      <c r="BX163" s="102"/>
      <c r="BY163" s="102"/>
      <c r="CD163" s="102"/>
      <c r="CE163" s="102"/>
      <c r="CG163" s="86"/>
      <c r="CH163" s="86"/>
      <c r="CI163" s="86"/>
      <c r="CJ163" s="86"/>
      <c r="CL163" s="63"/>
      <c r="CM163" s="54"/>
      <c r="CN163" s="152"/>
      <c r="CO163" s="54"/>
      <c r="CP163" s="54"/>
      <c r="CQ163" s="86"/>
      <c r="CR163" s="63"/>
      <c r="CS163" s="63"/>
      <c r="CT163" s="63"/>
      <c r="CU163" s="63"/>
      <c r="CV163" s="86"/>
      <c r="CW163" s="86"/>
      <c r="CX163" s="86"/>
      <c r="DF163" s="54"/>
      <c r="DG163" s="54"/>
      <c r="DH163" s="63"/>
      <c r="DI163" s="63"/>
      <c r="DJ163" s="63"/>
      <c r="DK163" s="63"/>
      <c r="DL163" s="63"/>
      <c r="DN163" s="86"/>
      <c r="DO163" s="86"/>
      <c r="DP163" s="86"/>
      <c r="DR163" s="63"/>
      <c r="DW163" s="54"/>
      <c r="DX163" s="54"/>
      <c r="DY163" s="63"/>
      <c r="DZ163" s="63"/>
      <c r="EA163" s="63"/>
      <c r="EB163" s="63"/>
      <c r="EC163" s="63"/>
      <c r="EE163" s="86"/>
      <c r="EF163" s="86"/>
      <c r="EG163" s="86"/>
      <c r="EI163" s="63"/>
      <c r="EN163" s="54"/>
      <c r="EQ163" s="86"/>
      <c r="ER163" s="86"/>
      <c r="EX163" s="54"/>
      <c r="FG163" s="86"/>
      <c r="FL163" s="45"/>
      <c r="FT163" s="63"/>
      <c r="FU163" s="54"/>
      <c r="FV163" s="54"/>
      <c r="FW163" s="54"/>
      <c r="FX163" s="86"/>
      <c r="FY163" s="86"/>
      <c r="FZ163" s="102"/>
      <c r="GA163" s="86"/>
      <c r="GB163" s="86"/>
      <c r="GD163" s="63"/>
      <c r="GE163" s="63"/>
      <c r="GF163" s="63"/>
      <c r="GG163" s="63"/>
      <c r="GH163" s="45"/>
      <c r="GI163" s="54"/>
      <c r="GJ163" s="54"/>
      <c r="GL163" s="86"/>
      <c r="GR163" s="86"/>
      <c r="GS163" s="86"/>
      <c r="GU163" s="63"/>
      <c r="GV163" s="63"/>
      <c r="GW163" s="63"/>
      <c r="GX163" s="63"/>
      <c r="GZ163" s="63"/>
      <c r="HA163" s="54"/>
      <c r="HD163" s="86"/>
      <c r="HI163" s="86"/>
      <c r="HJ163" s="86"/>
      <c r="HQ163" s="63"/>
      <c r="HR163" s="54"/>
      <c r="HU163" s="86"/>
      <c r="HZ163" s="86"/>
      <c r="IA163" s="86"/>
      <c r="IF163" s="54"/>
      <c r="IH163" s="89"/>
      <c r="IK163" s="86"/>
    </row>
    <row r="164" spans="1:245">
      <c r="A164" s="86">
        <v>134</v>
      </c>
      <c r="B164" s="117"/>
      <c r="C164" s="117"/>
      <c r="D164" s="117"/>
      <c r="E164" s="117"/>
      <c r="K164" s="117"/>
      <c r="L164" s="45"/>
      <c r="M164" s="45"/>
      <c r="N164" s="45"/>
      <c r="O164" s="45"/>
      <c r="P164" s="45"/>
      <c r="Q164" s="45"/>
      <c r="R164" s="45"/>
      <c r="S164" s="117"/>
      <c r="T164" s="117"/>
      <c r="U164" s="74"/>
      <c r="V164" s="74"/>
      <c r="W164" s="74"/>
      <c r="X164" s="74"/>
      <c r="Y164" s="74"/>
      <c r="Z164" s="74"/>
      <c r="AA164" s="74"/>
      <c r="AB164" s="74"/>
      <c r="AC164" s="117"/>
      <c r="AD164" s="117"/>
      <c r="AE164" s="117"/>
      <c r="AF164" s="117"/>
      <c r="AG164" s="117"/>
      <c r="AH164" s="117"/>
      <c r="AI164" s="117"/>
      <c r="AJ164" s="117"/>
      <c r="AK164" s="117"/>
      <c r="AL164" s="117"/>
      <c r="AM164" s="117"/>
      <c r="AN164" s="117"/>
      <c r="AO164" s="117"/>
      <c r="AP164" s="117"/>
      <c r="AQ164" s="117"/>
      <c r="AR164" s="300"/>
      <c r="AS164" s="300"/>
      <c r="AT164" s="86"/>
      <c r="AU164" s="162"/>
      <c r="AV164" s="162"/>
      <c r="AW164" s="162"/>
      <c r="AX164" s="162"/>
      <c r="AY164" s="162"/>
      <c r="BB164" s="45"/>
      <c r="BC164" s="45"/>
      <c r="BD164" s="117"/>
      <c r="BE164" s="117"/>
      <c r="BF164" s="99"/>
      <c r="BG164" s="99"/>
      <c r="BH164" s="74"/>
      <c r="BI164" s="117"/>
      <c r="BJ164" s="117"/>
      <c r="BK164" s="117"/>
      <c r="BL164" s="117"/>
      <c r="BM164" s="117"/>
      <c r="BN164" s="117"/>
      <c r="BO164" s="117"/>
      <c r="BP164" s="117"/>
      <c r="BQ164" s="117"/>
      <c r="BR164" s="117"/>
      <c r="BS164" s="117"/>
      <c r="BT164" s="117"/>
      <c r="BU164" s="117"/>
      <c r="BV164" s="117"/>
      <c r="BW164" s="117"/>
      <c r="BX164" s="102"/>
      <c r="BY164" s="102"/>
      <c r="CD164" s="102"/>
      <c r="CE164" s="102"/>
      <c r="CG164" s="86"/>
      <c r="CH164" s="86"/>
      <c r="CI164" s="86"/>
      <c r="CJ164" s="86"/>
      <c r="CL164" s="63"/>
      <c r="CM164" s="54"/>
      <c r="CN164" s="152"/>
      <c r="CO164" s="54"/>
      <c r="CP164" s="54"/>
      <c r="CQ164" s="86"/>
      <c r="CR164" s="63"/>
      <c r="CS164" s="63"/>
      <c r="CT164" s="63"/>
      <c r="CU164" s="63"/>
      <c r="CV164" s="86"/>
      <c r="CW164" s="86"/>
      <c r="CX164" s="86"/>
      <c r="DF164" s="54"/>
      <c r="DG164" s="54"/>
      <c r="DH164" s="63"/>
      <c r="DI164" s="63"/>
      <c r="DJ164" s="63"/>
      <c r="DK164" s="63"/>
      <c r="DL164" s="63"/>
      <c r="DN164" s="86"/>
      <c r="DO164" s="86"/>
      <c r="DP164" s="86"/>
      <c r="DR164" s="63"/>
      <c r="DW164" s="54"/>
      <c r="DX164" s="54"/>
      <c r="DY164" s="63"/>
      <c r="DZ164" s="63"/>
      <c r="EA164" s="63"/>
      <c r="EB164" s="63"/>
      <c r="EC164" s="63"/>
      <c r="EE164" s="86"/>
      <c r="EF164" s="86"/>
      <c r="EG164" s="86"/>
      <c r="EI164" s="63"/>
      <c r="EN164" s="54"/>
      <c r="EQ164" s="86"/>
      <c r="ER164" s="86"/>
      <c r="EX164" s="54"/>
      <c r="FG164" s="86"/>
      <c r="FL164" s="45"/>
      <c r="FT164" s="63"/>
      <c r="FU164" s="54"/>
      <c r="FV164" s="54"/>
      <c r="FW164" s="54"/>
      <c r="FX164" s="86"/>
      <c r="FY164" s="86"/>
      <c r="FZ164" s="102"/>
      <c r="GA164" s="86"/>
      <c r="GB164" s="86"/>
      <c r="GD164" s="63"/>
      <c r="GE164" s="63"/>
      <c r="GF164" s="63"/>
      <c r="GG164" s="63"/>
      <c r="GH164" s="45"/>
      <c r="GI164" s="54"/>
      <c r="GJ164" s="54"/>
      <c r="GL164" s="86"/>
      <c r="GR164" s="86"/>
      <c r="GS164" s="86"/>
      <c r="GU164" s="63"/>
      <c r="GV164" s="63"/>
      <c r="GW164" s="63"/>
      <c r="GX164" s="63"/>
      <c r="GZ164" s="63"/>
      <c r="HA164" s="54"/>
      <c r="HD164" s="86"/>
      <c r="HI164" s="86"/>
      <c r="HJ164" s="86"/>
      <c r="HQ164" s="63"/>
      <c r="HR164" s="54"/>
      <c r="HU164" s="86"/>
      <c r="HZ164" s="86"/>
      <c r="IA164" s="86"/>
      <c r="IF164" s="54"/>
      <c r="IH164" s="89"/>
      <c r="IK164" s="86"/>
    </row>
    <row r="165" spans="1:245">
      <c r="A165" s="86">
        <v>135</v>
      </c>
      <c r="B165" s="117"/>
      <c r="C165" s="117"/>
      <c r="D165" s="117"/>
      <c r="E165" s="117"/>
      <c r="K165" s="117"/>
      <c r="L165" s="45"/>
      <c r="M165" s="45"/>
      <c r="N165" s="45"/>
      <c r="O165" s="45"/>
      <c r="P165" s="45"/>
      <c r="Q165" s="45"/>
      <c r="R165" s="45"/>
      <c r="S165" s="117"/>
      <c r="T165" s="117"/>
      <c r="U165" s="74"/>
      <c r="V165" s="74"/>
      <c r="W165" s="74"/>
      <c r="X165" s="74"/>
      <c r="Y165" s="74"/>
      <c r="Z165" s="74"/>
      <c r="AA165" s="74"/>
      <c r="AB165" s="74"/>
      <c r="AC165" s="117"/>
      <c r="AD165" s="117"/>
      <c r="AE165" s="117"/>
      <c r="AF165" s="117"/>
      <c r="AG165" s="117"/>
      <c r="AH165" s="117"/>
      <c r="AI165" s="117"/>
      <c r="AJ165" s="117"/>
      <c r="AK165" s="117"/>
      <c r="AL165" s="117"/>
      <c r="AM165" s="117"/>
      <c r="AN165" s="117"/>
      <c r="AO165" s="117"/>
      <c r="AP165" s="117"/>
      <c r="AQ165" s="117"/>
      <c r="AR165" s="300"/>
      <c r="AS165" s="300"/>
      <c r="AT165" s="86"/>
      <c r="AU165" s="162"/>
      <c r="AV165" s="162"/>
      <c r="AW165" s="162"/>
      <c r="AX165" s="162"/>
      <c r="AY165" s="162"/>
      <c r="BB165" s="45"/>
      <c r="BC165" s="45"/>
      <c r="BD165" s="117"/>
      <c r="BE165" s="117"/>
      <c r="BF165" s="99"/>
      <c r="BG165" s="99"/>
      <c r="BH165" s="74"/>
      <c r="BI165" s="117"/>
      <c r="BJ165" s="117"/>
      <c r="BK165" s="117"/>
      <c r="BL165" s="117"/>
      <c r="BM165" s="117"/>
      <c r="BN165" s="117"/>
      <c r="BO165" s="117"/>
      <c r="BP165" s="117"/>
      <c r="BQ165" s="117"/>
      <c r="BR165" s="117"/>
      <c r="BS165" s="117"/>
      <c r="BT165" s="117"/>
      <c r="BU165" s="117"/>
      <c r="BV165" s="117"/>
      <c r="BW165" s="117"/>
      <c r="BX165" s="102"/>
      <c r="BY165" s="102"/>
      <c r="CD165" s="102"/>
      <c r="CE165" s="102"/>
      <c r="CG165" s="86"/>
      <c r="CH165" s="86"/>
      <c r="CI165" s="86"/>
      <c r="CJ165" s="86"/>
      <c r="CL165" s="63"/>
      <c r="CM165" s="54"/>
      <c r="CN165" s="152"/>
      <c r="CO165" s="54"/>
      <c r="CP165" s="54"/>
      <c r="CQ165" s="86"/>
      <c r="CR165" s="63"/>
      <c r="CS165" s="63"/>
      <c r="CT165" s="63"/>
      <c r="CU165" s="63"/>
      <c r="CV165" s="86"/>
      <c r="CW165" s="86"/>
      <c r="CX165" s="86"/>
      <c r="DF165" s="54"/>
      <c r="DG165" s="54"/>
      <c r="DH165" s="63"/>
      <c r="DI165" s="63"/>
      <c r="DJ165" s="63"/>
      <c r="DK165" s="63"/>
      <c r="DL165" s="63"/>
      <c r="DN165" s="86"/>
      <c r="DO165" s="86"/>
      <c r="DP165" s="86"/>
      <c r="DR165" s="63"/>
      <c r="DW165" s="54"/>
      <c r="DX165" s="54"/>
      <c r="DY165" s="63"/>
      <c r="DZ165" s="63"/>
      <c r="EA165" s="63"/>
      <c r="EB165" s="63"/>
      <c r="EC165" s="63"/>
      <c r="EE165" s="86"/>
      <c r="EF165" s="86"/>
      <c r="EG165" s="86"/>
      <c r="EI165" s="63"/>
      <c r="EN165" s="54"/>
      <c r="EQ165" s="86"/>
      <c r="ER165" s="86"/>
      <c r="EX165" s="54"/>
      <c r="FG165" s="86"/>
      <c r="FL165" s="45"/>
      <c r="FT165" s="63"/>
      <c r="FU165" s="54"/>
      <c r="FV165" s="54"/>
      <c r="FW165" s="54"/>
      <c r="FX165" s="86"/>
      <c r="FY165" s="86"/>
      <c r="FZ165" s="102"/>
      <c r="GA165" s="86"/>
      <c r="GB165" s="86"/>
      <c r="GD165" s="63"/>
      <c r="GE165" s="63"/>
      <c r="GF165" s="63"/>
      <c r="GG165" s="63"/>
      <c r="GH165" s="45"/>
      <c r="GI165" s="54"/>
      <c r="GJ165" s="54"/>
      <c r="GL165" s="86"/>
      <c r="GR165" s="86"/>
      <c r="GS165" s="86"/>
      <c r="GU165" s="63"/>
      <c r="GV165" s="63"/>
      <c r="GW165" s="63"/>
      <c r="GX165" s="63"/>
      <c r="GZ165" s="63"/>
      <c r="HA165" s="54"/>
      <c r="HD165" s="86"/>
      <c r="HI165" s="86"/>
      <c r="HJ165" s="86"/>
      <c r="HQ165" s="63"/>
      <c r="HR165" s="54"/>
      <c r="HU165" s="86"/>
      <c r="HZ165" s="86"/>
      <c r="IA165" s="86"/>
      <c r="IF165" s="54"/>
      <c r="IH165" s="89"/>
      <c r="IK165" s="86"/>
    </row>
    <row r="166" spans="1:245">
      <c r="A166" s="86">
        <v>136</v>
      </c>
      <c r="B166" s="117"/>
      <c r="C166" s="117"/>
      <c r="D166" s="117"/>
      <c r="E166" s="117"/>
      <c r="K166" s="117"/>
      <c r="L166" s="45"/>
      <c r="M166" s="45"/>
      <c r="N166" s="45"/>
      <c r="O166" s="45"/>
      <c r="P166" s="45"/>
      <c r="Q166" s="45"/>
      <c r="R166" s="45"/>
      <c r="S166" s="117"/>
      <c r="T166" s="117"/>
      <c r="U166" s="74"/>
      <c r="V166" s="74"/>
      <c r="W166" s="74"/>
      <c r="X166" s="74"/>
      <c r="Y166" s="74"/>
      <c r="Z166" s="74"/>
      <c r="AA166" s="74"/>
      <c r="AB166" s="74"/>
      <c r="AC166" s="117"/>
      <c r="AD166" s="117"/>
      <c r="AE166" s="117"/>
      <c r="AF166" s="117"/>
      <c r="AG166" s="117"/>
      <c r="AH166" s="117"/>
      <c r="AI166" s="117"/>
      <c r="AJ166" s="117"/>
      <c r="AK166" s="117"/>
      <c r="AL166" s="117"/>
      <c r="AM166" s="117"/>
      <c r="AN166" s="117"/>
      <c r="AO166" s="117"/>
      <c r="AP166" s="117"/>
      <c r="AQ166" s="117"/>
      <c r="AR166" s="300"/>
      <c r="AS166" s="300"/>
      <c r="AT166" s="86"/>
      <c r="AU166" s="162"/>
      <c r="AV166" s="162"/>
      <c r="AW166" s="162"/>
      <c r="AX166" s="162"/>
      <c r="AY166" s="162"/>
      <c r="BB166" s="45"/>
      <c r="BC166" s="45"/>
      <c r="BD166" s="117"/>
      <c r="BE166" s="117"/>
      <c r="BF166" s="99"/>
      <c r="BG166" s="99"/>
      <c r="BH166" s="74"/>
      <c r="BI166" s="117"/>
      <c r="BJ166" s="117"/>
      <c r="BK166" s="117"/>
      <c r="BL166" s="117"/>
      <c r="BM166" s="117"/>
      <c r="BN166" s="117"/>
      <c r="BO166" s="117"/>
      <c r="BP166" s="117"/>
      <c r="BQ166" s="117"/>
      <c r="BR166" s="117"/>
      <c r="BS166" s="117"/>
      <c r="BT166" s="117"/>
      <c r="BU166" s="117"/>
      <c r="BV166" s="117"/>
      <c r="BW166" s="117"/>
      <c r="BX166" s="102"/>
      <c r="BY166" s="102"/>
      <c r="CD166" s="102"/>
      <c r="CE166" s="102"/>
      <c r="CG166" s="86"/>
      <c r="CH166" s="86"/>
      <c r="CI166" s="86"/>
      <c r="CJ166" s="86"/>
      <c r="CL166" s="63"/>
      <c r="CM166" s="54"/>
      <c r="CN166" s="152"/>
      <c r="CO166" s="54"/>
      <c r="CP166" s="54"/>
      <c r="CQ166" s="86"/>
      <c r="CR166" s="63"/>
      <c r="CS166" s="63"/>
      <c r="CT166" s="63"/>
      <c r="CU166" s="63"/>
      <c r="CV166" s="86"/>
      <c r="CW166" s="86"/>
      <c r="CX166" s="86"/>
      <c r="DF166" s="54"/>
      <c r="DG166" s="54"/>
      <c r="DH166" s="63"/>
      <c r="DI166" s="63"/>
      <c r="DJ166" s="63"/>
      <c r="DK166" s="63"/>
      <c r="DL166" s="63"/>
      <c r="DN166" s="86"/>
      <c r="DO166" s="86"/>
      <c r="DP166" s="86"/>
      <c r="DR166" s="63"/>
      <c r="DW166" s="54"/>
      <c r="DX166" s="54"/>
      <c r="DY166" s="63"/>
      <c r="DZ166" s="63"/>
      <c r="EA166" s="63"/>
      <c r="EB166" s="63"/>
      <c r="EC166" s="63"/>
      <c r="EE166" s="86"/>
      <c r="EF166" s="86"/>
      <c r="EG166" s="86"/>
      <c r="EI166" s="63"/>
      <c r="EN166" s="54"/>
      <c r="EQ166" s="86"/>
      <c r="ER166" s="86"/>
      <c r="EX166" s="54"/>
      <c r="FG166" s="86"/>
      <c r="FL166" s="45"/>
      <c r="FT166" s="63"/>
      <c r="FU166" s="54"/>
      <c r="FV166" s="54"/>
      <c r="FW166" s="54"/>
      <c r="FX166" s="86"/>
      <c r="FY166" s="86"/>
      <c r="FZ166" s="102"/>
      <c r="GA166" s="86"/>
      <c r="GB166" s="86"/>
      <c r="GD166" s="63"/>
      <c r="GE166" s="63"/>
      <c r="GF166" s="63"/>
      <c r="GG166" s="63"/>
      <c r="GH166" s="45"/>
      <c r="GI166" s="54"/>
      <c r="GJ166" s="54"/>
      <c r="GL166" s="86"/>
      <c r="GR166" s="86"/>
      <c r="GS166" s="86"/>
      <c r="GU166" s="63"/>
      <c r="GV166" s="63"/>
      <c r="GW166" s="63"/>
      <c r="GX166" s="63"/>
      <c r="GZ166" s="63"/>
      <c r="HA166" s="54"/>
      <c r="HD166" s="86"/>
      <c r="HI166" s="86"/>
      <c r="HJ166" s="86"/>
      <c r="HQ166" s="63"/>
      <c r="HR166" s="54"/>
      <c r="HU166" s="86"/>
      <c r="HZ166" s="86"/>
      <c r="IA166" s="86"/>
      <c r="IF166" s="54"/>
      <c r="IH166" s="89"/>
      <c r="IK166" s="86"/>
    </row>
    <row r="167" spans="1:245">
      <c r="A167" s="86">
        <v>137</v>
      </c>
      <c r="B167" s="117"/>
      <c r="C167" s="117"/>
      <c r="D167" s="117"/>
      <c r="E167" s="117"/>
      <c r="K167" s="117"/>
      <c r="L167" s="45"/>
      <c r="M167" s="45"/>
      <c r="N167" s="45"/>
      <c r="O167" s="45"/>
      <c r="P167" s="45"/>
      <c r="Q167" s="45"/>
      <c r="R167" s="45"/>
      <c r="S167" s="117"/>
      <c r="T167" s="117"/>
      <c r="U167" s="74"/>
      <c r="V167" s="74"/>
      <c r="W167" s="74"/>
      <c r="X167" s="74"/>
      <c r="Y167" s="74"/>
      <c r="Z167" s="74"/>
      <c r="AA167" s="74"/>
      <c r="AB167" s="74"/>
      <c r="AC167" s="117"/>
      <c r="AD167" s="117"/>
      <c r="AE167" s="117"/>
      <c r="AF167" s="117"/>
      <c r="AG167" s="117"/>
      <c r="AH167" s="117"/>
      <c r="AI167" s="117"/>
      <c r="AJ167" s="117"/>
      <c r="AK167" s="117"/>
      <c r="AL167" s="117"/>
      <c r="AM167" s="117"/>
      <c r="AN167" s="117"/>
      <c r="AO167" s="117"/>
      <c r="AP167" s="117"/>
      <c r="AQ167" s="117"/>
      <c r="AR167" s="300"/>
      <c r="AS167" s="300"/>
      <c r="AT167" s="86"/>
      <c r="AU167" s="162"/>
      <c r="AV167" s="162"/>
      <c r="AW167" s="162"/>
      <c r="AX167" s="162"/>
      <c r="AY167" s="162"/>
      <c r="BB167" s="45"/>
      <c r="BC167" s="45"/>
      <c r="BD167" s="117"/>
      <c r="BE167" s="117"/>
      <c r="BF167" s="99"/>
      <c r="BG167" s="99"/>
      <c r="BH167" s="74"/>
      <c r="BI167" s="117"/>
      <c r="BJ167" s="117"/>
      <c r="BK167" s="117"/>
      <c r="BL167" s="117"/>
      <c r="BM167" s="117"/>
      <c r="BN167" s="117"/>
      <c r="BO167" s="117"/>
      <c r="BP167" s="117"/>
      <c r="BQ167" s="117"/>
      <c r="BR167" s="117"/>
      <c r="BS167" s="117"/>
      <c r="BT167" s="117"/>
      <c r="BU167" s="117"/>
      <c r="BV167" s="117"/>
      <c r="BW167" s="117"/>
      <c r="BX167" s="102"/>
      <c r="BY167" s="102"/>
      <c r="CD167" s="102"/>
      <c r="CE167" s="102"/>
      <c r="CG167" s="86"/>
      <c r="CH167" s="86"/>
      <c r="CI167" s="86"/>
      <c r="CJ167" s="86"/>
      <c r="CL167" s="63"/>
      <c r="CM167" s="54"/>
      <c r="CN167" s="152"/>
      <c r="CO167" s="54"/>
      <c r="CP167" s="54"/>
      <c r="CQ167" s="86"/>
      <c r="CR167" s="63"/>
      <c r="CS167" s="63"/>
      <c r="CT167" s="63"/>
      <c r="CU167" s="63"/>
      <c r="CV167" s="86"/>
      <c r="CW167" s="86"/>
      <c r="CX167" s="86"/>
      <c r="DF167" s="54"/>
      <c r="DG167" s="54"/>
      <c r="DH167" s="63"/>
      <c r="DI167" s="63"/>
      <c r="DJ167" s="63"/>
      <c r="DK167" s="63"/>
      <c r="DL167" s="63"/>
      <c r="DN167" s="86"/>
      <c r="DO167" s="86"/>
      <c r="DP167" s="86"/>
      <c r="DR167" s="63"/>
      <c r="DW167" s="54"/>
      <c r="DX167" s="54"/>
      <c r="DY167" s="63"/>
      <c r="DZ167" s="63"/>
      <c r="EA167" s="63"/>
      <c r="EB167" s="63"/>
      <c r="EC167" s="63"/>
      <c r="EE167" s="86"/>
      <c r="EF167" s="86"/>
      <c r="EG167" s="86"/>
      <c r="EI167" s="63"/>
      <c r="EN167" s="54"/>
      <c r="EQ167" s="86"/>
      <c r="ER167" s="86"/>
      <c r="EX167" s="54"/>
      <c r="FG167" s="86"/>
      <c r="FL167" s="45"/>
      <c r="FT167" s="63"/>
      <c r="FU167" s="54"/>
      <c r="FV167" s="54"/>
      <c r="FW167" s="54"/>
      <c r="FX167" s="86"/>
      <c r="FY167" s="86"/>
      <c r="FZ167" s="102"/>
      <c r="GA167" s="86"/>
      <c r="GB167" s="86"/>
      <c r="GD167" s="63"/>
      <c r="GE167" s="63"/>
      <c r="GF167" s="63"/>
      <c r="GG167" s="63"/>
      <c r="GH167" s="45"/>
      <c r="GI167" s="54"/>
      <c r="GJ167" s="54"/>
      <c r="GL167" s="86"/>
      <c r="GR167" s="86"/>
      <c r="GS167" s="86"/>
      <c r="GU167" s="63"/>
      <c r="GV167" s="63"/>
      <c r="GW167" s="63"/>
      <c r="GX167" s="63"/>
      <c r="GZ167" s="63"/>
      <c r="HA167" s="54"/>
      <c r="HD167" s="86"/>
      <c r="HI167" s="86"/>
      <c r="HJ167" s="86"/>
      <c r="HQ167" s="63"/>
      <c r="HR167" s="54"/>
      <c r="HU167" s="86"/>
      <c r="HZ167" s="86"/>
      <c r="IA167" s="86"/>
      <c r="IF167" s="54"/>
      <c r="IH167" s="89"/>
      <c r="IK167" s="86"/>
    </row>
    <row r="168" spans="1:245">
      <c r="A168" s="86">
        <v>138</v>
      </c>
      <c r="B168" s="117"/>
      <c r="C168" s="117"/>
      <c r="D168" s="117"/>
      <c r="E168" s="117"/>
      <c r="K168" s="117"/>
      <c r="L168" s="45"/>
      <c r="M168" s="45"/>
      <c r="N168" s="45"/>
      <c r="O168" s="45"/>
      <c r="P168" s="45"/>
      <c r="Q168" s="45"/>
      <c r="R168" s="45"/>
      <c r="S168" s="117"/>
      <c r="T168" s="117"/>
      <c r="U168" s="74"/>
      <c r="V168" s="74"/>
      <c r="W168" s="74"/>
      <c r="X168" s="74"/>
      <c r="Y168" s="74"/>
      <c r="Z168" s="74"/>
      <c r="AA168" s="74"/>
      <c r="AB168" s="74"/>
      <c r="AC168" s="117"/>
      <c r="AD168" s="117"/>
      <c r="AE168" s="117"/>
      <c r="AF168" s="117"/>
      <c r="AG168" s="117"/>
      <c r="AH168" s="117"/>
      <c r="AI168" s="117"/>
      <c r="AJ168" s="117"/>
      <c r="AK168" s="117"/>
      <c r="AL168" s="117"/>
      <c r="AM168" s="117"/>
      <c r="AN168" s="117"/>
      <c r="AO168" s="117"/>
      <c r="AP168" s="117"/>
      <c r="AQ168" s="117"/>
      <c r="AR168" s="300"/>
      <c r="AS168" s="300"/>
      <c r="AT168" s="86"/>
      <c r="AU168" s="162"/>
      <c r="AV168" s="162"/>
      <c r="AW168" s="162"/>
      <c r="AX168" s="162"/>
      <c r="AY168" s="162"/>
      <c r="BB168" s="45"/>
      <c r="BC168" s="45"/>
      <c r="BD168" s="117"/>
      <c r="BE168" s="117"/>
      <c r="BF168" s="99"/>
      <c r="BG168" s="99"/>
      <c r="BH168" s="74"/>
      <c r="BI168" s="117"/>
      <c r="BJ168" s="117"/>
      <c r="BK168" s="117"/>
      <c r="BL168" s="117"/>
      <c r="BM168" s="117"/>
      <c r="BN168" s="117"/>
      <c r="BO168" s="117"/>
      <c r="BP168" s="117"/>
      <c r="BQ168" s="117"/>
      <c r="BR168" s="117"/>
      <c r="BS168" s="117"/>
      <c r="BT168" s="117"/>
      <c r="BU168" s="117"/>
      <c r="BV168" s="117"/>
      <c r="BW168" s="117"/>
      <c r="BX168" s="102"/>
      <c r="BY168" s="102"/>
      <c r="CD168" s="102"/>
      <c r="CE168" s="102"/>
      <c r="CG168" s="86"/>
      <c r="CH168" s="86"/>
      <c r="CI168" s="86"/>
      <c r="CJ168" s="86"/>
      <c r="CL168" s="63"/>
      <c r="CM168" s="54"/>
      <c r="CN168" s="152"/>
      <c r="CO168" s="54"/>
      <c r="CP168" s="54"/>
      <c r="CQ168" s="86"/>
      <c r="CR168" s="63"/>
      <c r="CS168" s="63"/>
      <c r="CT168" s="63"/>
      <c r="CU168" s="63"/>
      <c r="CV168" s="86"/>
      <c r="CW168" s="86"/>
      <c r="CX168" s="86"/>
      <c r="DF168" s="54"/>
      <c r="DG168" s="54"/>
      <c r="DH168" s="63"/>
      <c r="DI168" s="63"/>
      <c r="DJ168" s="63"/>
      <c r="DK168" s="63"/>
      <c r="DL168" s="63"/>
      <c r="DN168" s="86"/>
      <c r="DO168" s="86"/>
      <c r="DP168" s="86"/>
      <c r="DR168" s="63"/>
      <c r="DW168" s="54"/>
      <c r="DX168" s="54"/>
      <c r="DY168" s="63"/>
      <c r="DZ168" s="63"/>
      <c r="EA168" s="63"/>
      <c r="EB168" s="63"/>
      <c r="EC168" s="63"/>
      <c r="EE168" s="86"/>
      <c r="EF168" s="86"/>
      <c r="EG168" s="86"/>
      <c r="EI168" s="63"/>
      <c r="EN168" s="54"/>
      <c r="EQ168" s="86"/>
      <c r="ER168" s="86"/>
      <c r="EX168" s="54"/>
      <c r="FG168" s="86"/>
      <c r="FL168" s="45"/>
      <c r="FT168" s="63"/>
      <c r="FU168" s="54"/>
      <c r="FV168" s="54"/>
      <c r="FW168" s="54"/>
      <c r="FX168" s="86"/>
      <c r="FY168" s="86"/>
      <c r="FZ168" s="102"/>
      <c r="GA168" s="86"/>
      <c r="GB168" s="86"/>
      <c r="GD168" s="63"/>
      <c r="GE168" s="63"/>
      <c r="GF168" s="63"/>
      <c r="GG168" s="63"/>
      <c r="GH168" s="45"/>
      <c r="GI168" s="54"/>
      <c r="GJ168" s="54"/>
      <c r="GL168" s="86"/>
      <c r="GR168" s="86"/>
      <c r="GS168" s="86"/>
      <c r="GU168" s="63"/>
      <c r="GV168" s="63"/>
      <c r="GW168" s="63"/>
      <c r="GX168" s="63"/>
      <c r="GZ168" s="63"/>
      <c r="HA168" s="54"/>
      <c r="HD168" s="86"/>
      <c r="HI168" s="86"/>
      <c r="HJ168" s="86"/>
      <c r="HQ168" s="63"/>
      <c r="HR168" s="54"/>
      <c r="HU168" s="86"/>
      <c r="HZ168" s="86"/>
      <c r="IA168" s="86"/>
      <c r="IF168" s="54"/>
      <c r="IH168" s="89"/>
      <c r="IK168" s="86"/>
    </row>
    <row r="169" spans="1:245">
      <c r="A169" s="86">
        <v>139</v>
      </c>
      <c r="B169" s="117"/>
      <c r="C169" s="117"/>
      <c r="D169" s="117"/>
      <c r="E169" s="117"/>
      <c r="K169" s="117"/>
      <c r="L169" s="45"/>
      <c r="M169" s="45"/>
      <c r="N169" s="45"/>
      <c r="O169" s="45"/>
      <c r="P169" s="45"/>
      <c r="Q169" s="45"/>
      <c r="R169" s="45"/>
      <c r="S169" s="117"/>
      <c r="T169" s="117"/>
      <c r="U169" s="74"/>
      <c r="V169" s="74"/>
      <c r="W169" s="74"/>
      <c r="X169" s="74"/>
      <c r="Y169" s="74"/>
      <c r="Z169" s="74"/>
      <c r="AA169" s="74"/>
      <c r="AB169" s="74"/>
      <c r="AC169" s="117"/>
      <c r="AD169" s="117"/>
      <c r="AE169" s="117"/>
      <c r="AF169" s="117"/>
      <c r="AG169" s="117"/>
      <c r="AH169" s="117"/>
      <c r="AI169" s="117"/>
      <c r="AJ169" s="117"/>
      <c r="AK169" s="117"/>
      <c r="AL169" s="117"/>
      <c r="AM169" s="117"/>
      <c r="AN169" s="117"/>
      <c r="AO169" s="117"/>
      <c r="AP169" s="117"/>
      <c r="AQ169" s="117"/>
      <c r="AR169" s="300"/>
      <c r="AS169" s="300"/>
      <c r="AT169" s="86"/>
      <c r="AU169" s="162"/>
      <c r="AV169" s="162"/>
      <c r="AW169" s="162"/>
      <c r="AX169" s="162"/>
      <c r="AY169" s="162"/>
      <c r="BB169" s="45"/>
      <c r="BC169" s="45"/>
      <c r="BD169" s="117"/>
      <c r="BE169" s="117"/>
      <c r="BF169" s="99"/>
      <c r="BG169" s="99"/>
      <c r="BH169" s="74"/>
      <c r="BI169" s="117"/>
      <c r="BJ169" s="117"/>
      <c r="BK169" s="117"/>
      <c r="BL169" s="117"/>
      <c r="BM169" s="117"/>
      <c r="BN169" s="117"/>
      <c r="BO169" s="117"/>
      <c r="BP169" s="117"/>
      <c r="BQ169" s="117"/>
      <c r="BR169" s="117"/>
      <c r="BS169" s="117"/>
      <c r="BT169" s="117"/>
      <c r="BU169" s="117"/>
      <c r="BV169" s="117"/>
      <c r="BW169" s="117"/>
      <c r="BX169" s="102"/>
      <c r="BY169" s="102"/>
      <c r="CD169" s="102"/>
      <c r="CE169" s="102"/>
      <c r="CG169" s="86"/>
      <c r="CH169" s="86"/>
      <c r="CI169" s="86"/>
      <c r="CJ169" s="86"/>
      <c r="CL169" s="63"/>
      <c r="CM169" s="54"/>
      <c r="CN169" s="152"/>
      <c r="CO169" s="54"/>
      <c r="CP169" s="54"/>
      <c r="CQ169" s="86"/>
      <c r="CR169" s="63"/>
      <c r="CS169" s="63"/>
      <c r="CT169" s="63"/>
      <c r="CU169" s="63"/>
      <c r="CV169" s="86"/>
      <c r="CW169" s="86"/>
      <c r="CX169" s="86"/>
      <c r="DF169" s="54"/>
      <c r="DG169" s="54"/>
      <c r="DH169" s="63"/>
      <c r="DI169" s="63"/>
      <c r="DJ169" s="63"/>
      <c r="DK169" s="63"/>
      <c r="DL169" s="63"/>
      <c r="DN169" s="86"/>
      <c r="DO169" s="86"/>
      <c r="DP169" s="86"/>
      <c r="DR169" s="63"/>
      <c r="DW169" s="54"/>
      <c r="DX169" s="54"/>
      <c r="DY169" s="63"/>
      <c r="DZ169" s="63"/>
      <c r="EA169" s="63"/>
      <c r="EB169" s="63"/>
      <c r="EC169" s="63"/>
      <c r="EE169" s="86"/>
      <c r="EF169" s="86"/>
      <c r="EG169" s="86"/>
      <c r="EI169" s="63"/>
      <c r="EN169" s="54"/>
      <c r="EQ169" s="86"/>
      <c r="ER169" s="86"/>
      <c r="EX169" s="54"/>
      <c r="FG169" s="86"/>
      <c r="FL169" s="45"/>
      <c r="FT169" s="63"/>
      <c r="FU169" s="54"/>
      <c r="FV169" s="54"/>
      <c r="FW169" s="54"/>
      <c r="FX169" s="86"/>
      <c r="FY169" s="86"/>
      <c r="FZ169" s="102"/>
      <c r="GA169" s="86"/>
      <c r="GB169" s="86"/>
      <c r="GD169" s="63"/>
      <c r="GE169" s="63"/>
      <c r="GF169" s="63"/>
      <c r="GG169" s="63"/>
      <c r="GH169" s="45"/>
      <c r="GI169" s="54"/>
      <c r="GJ169" s="54"/>
      <c r="GL169" s="86"/>
      <c r="GR169" s="86"/>
      <c r="GS169" s="86"/>
      <c r="GU169" s="63"/>
      <c r="GV169" s="63"/>
      <c r="GW169" s="63"/>
      <c r="GX169" s="63"/>
      <c r="GZ169" s="63"/>
      <c r="HA169" s="54"/>
      <c r="HD169" s="86"/>
      <c r="HI169" s="86"/>
      <c r="HJ169" s="86"/>
      <c r="HQ169" s="63"/>
      <c r="HR169" s="54"/>
      <c r="HU169" s="86"/>
      <c r="HZ169" s="86"/>
      <c r="IA169" s="86"/>
      <c r="IF169" s="54"/>
      <c r="IH169" s="89"/>
      <c r="IK169" s="86"/>
    </row>
    <row r="170" spans="1:245">
      <c r="A170" s="86">
        <v>140</v>
      </c>
      <c r="B170" s="117"/>
      <c r="C170" s="117"/>
      <c r="D170" s="117"/>
      <c r="E170" s="117"/>
      <c r="K170" s="117"/>
      <c r="L170" s="45"/>
      <c r="M170" s="45"/>
      <c r="N170" s="45"/>
      <c r="O170" s="45"/>
      <c r="P170" s="45"/>
      <c r="Q170" s="45"/>
      <c r="R170" s="45"/>
      <c r="S170" s="117"/>
      <c r="T170" s="117"/>
      <c r="U170" s="74"/>
      <c r="V170" s="74"/>
      <c r="W170" s="74"/>
      <c r="X170" s="74"/>
      <c r="Y170" s="74"/>
      <c r="Z170" s="74"/>
      <c r="AA170" s="74"/>
      <c r="AB170" s="74"/>
      <c r="AC170" s="117"/>
      <c r="AD170" s="117"/>
      <c r="AE170" s="117"/>
      <c r="AF170" s="117"/>
      <c r="AG170" s="117"/>
      <c r="AH170" s="117"/>
      <c r="AI170" s="117"/>
      <c r="AJ170" s="117"/>
      <c r="AK170" s="117"/>
      <c r="AL170" s="117"/>
      <c r="AM170" s="117"/>
      <c r="AN170" s="117"/>
      <c r="AO170" s="117"/>
      <c r="AP170" s="117"/>
      <c r="AQ170" s="117"/>
      <c r="AR170" s="300"/>
      <c r="AS170" s="300"/>
      <c r="AT170" s="86"/>
      <c r="AU170" s="162"/>
      <c r="AV170" s="162"/>
      <c r="AW170" s="162"/>
      <c r="AX170" s="162"/>
      <c r="AY170" s="162"/>
      <c r="BB170" s="45"/>
      <c r="BC170" s="45"/>
      <c r="BD170" s="117"/>
      <c r="BE170" s="117"/>
      <c r="BF170" s="99"/>
      <c r="BG170" s="99"/>
      <c r="BH170" s="74"/>
      <c r="BI170" s="117"/>
      <c r="BJ170" s="117"/>
      <c r="BK170" s="117"/>
      <c r="BL170" s="117"/>
      <c r="BM170" s="117"/>
      <c r="BN170" s="117"/>
      <c r="BO170" s="117"/>
      <c r="BP170" s="117"/>
      <c r="BQ170" s="117"/>
      <c r="BR170" s="117"/>
      <c r="BS170" s="117"/>
      <c r="BT170" s="117"/>
      <c r="BU170" s="117"/>
      <c r="BV170" s="117"/>
      <c r="BW170" s="117"/>
      <c r="BX170" s="102"/>
      <c r="BY170" s="102"/>
      <c r="CD170" s="102"/>
      <c r="CE170" s="102"/>
      <c r="CG170" s="86"/>
      <c r="CH170" s="86"/>
      <c r="CI170" s="86"/>
      <c r="CJ170" s="86"/>
      <c r="CL170" s="63"/>
      <c r="CM170" s="54"/>
      <c r="CN170" s="152"/>
      <c r="CO170" s="54"/>
      <c r="CP170" s="54"/>
      <c r="CQ170" s="86"/>
      <c r="CR170" s="63"/>
      <c r="CS170" s="63"/>
      <c r="CT170" s="63"/>
      <c r="CU170" s="63"/>
      <c r="CV170" s="86"/>
      <c r="CW170" s="86"/>
      <c r="CX170" s="86"/>
      <c r="DF170" s="54"/>
      <c r="DG170" s="54"/>
      <c r="DH170" s="63"/>
      <c r="DI170" s="63"/>
      <c r="DJ170" s="63"/>
      <c r="DK170" s="63"/>
      <c r="DL170" s="63"/>
      <c r="DN170" s="86"/>
      <c r="DO170" s="86"/>
      <c r="DP170" s="86"/>
      <c r="DR170" s="63"/>
      <c r="DW170" s="54"/>
      <c r="DX170" s="54"/>
      <c r="DY170" s="63"/>
      <c r="DZ170" s="63"/>
      <c r="EA170" s="63"/>
      <c r="EB170" s="63"/>
      <c r="EC170" s="63"/>
      <c r="EE170" s="86"/>
      <c r="EF170" s="86"/>
      <c r="EG170" s="86"/>
      <c r="EI170" s="63"/>
      <c r="EN170" s="54"/>
      <c r="EQ170" s="86"/>
      <c r="ER170" s="86"/>
      <c r="EX170" s="54"/>
      <c r="FG170" s="86"/>
      <c r="FL170" s="45"/>
      <c r="FT170" s="63"/>
      <c r="FU170" s="54"/>
      <c r="FV170" s="54"/>
      <c r="FW170" s="54"/>
      <c r="FX170" s="86"/>
      <c r="FY170" s="86"/>
      <c r="FZ170" s="102"/>
      <c r="GA170" s="86"/>
      <c r="GB170" s="86"/>
      <c r="GD170" s="63"/>
      <c r="GE170" s="63"/>
      <c r="GF170" s="63"/>
      <c r="GG170" s="63"/>
      <c r="GH170" s="45"/>
      <c r="GI170" s="54"/>
      <c r="GJ170" s="54"/>
      <c r="GL170" s="86"/>
      <c r="GR170" s="86"/>
      <c r="GS170" s="86"/>
      <c r="GU170" s="63"/>
      <c r="GV170" s="63"/>
      <c r="GW170" s="63"/>
      <c r="GX170" s="63"/>
      <c r="GZ170" s="63"/>
      <c r="HA170" s="54"/>
      <c r="HD170" s="86"/>
      <c r="HI170" s="86"/>
      <c r="HJ170" s="86"/>
      <c r="HQ170" s="63"/>
      <c r="HR170" s="54"/>
      <c r="HU170" s="86"/>
      <c r="HZ170" s="86"/>
      <c r="IA170" s="86"/>
      <c r="IF170" s="54"/>
      <c r="IH170" s="89"/>
      <c r="IK170" s="86"/>
    </row>
    <row r="171" spans="1:245">
      <c r="A171" s="86">
        <v>141</v>
      </c>
      <c r="B171" s="117"/>
      <c r="C171" s="117"/>
      <c r="D171" s="117"/>
      <c r="E171" s="117"/>
      <c r="K171" s="117"/>
      <c r="L171" s="45"/>
      <c r="M171" s="45"/>
      <c r="N171" s="45"/>
      <c r="O171" s="45"/>
      <c r="P171" s="45"/>
      <c r="Q171" s="45"/>
      <c r="R171" s="45"/>
      <c r="S171" s="117"/>
      <c r="T171" s="117"/>
      <c r="U171" s="74"/>
      <c r="V171" s="74"/>
      <c r="W171" s="74"/>
      <c r="X171" s="74"/>
      <c r="Y171" s="74"/>
      <c r="Z171" s="74"/>
      <c r="AA171" s="74"/>
      <c r="AB171" s="74"/>
      <c r="AC171" s="117"/>
      <c r="AD171" s="117"/>
      <c r="AE171" s="117"/>
      <c r="AF171" s="117"/>
      <c r="AG171" s="117"/>
      <c r="AH171" s="117"/>
      <c r="AI171" s="117"/>
      <c r="AJ171" s="117"/>
      <c r="AK171" s="117"/>
      <c r="AL171" s="117"/>
      <c r="AM171" s="117"/>
      <c r="AN171" s="117"/>
      <c r="AO171" s="117"/>
      <c r="AP171" s="117"/>
      <c r="AQ171" s="117"/>
      <c r="AR171" s="300"/>
      <c r="AS171" s="300"/>
      <c r="AT171" s="86"/>
      <c r="AU171" s="162"/>
      <c r="AV171" s="162"/>
      <c r="AW171" s="162"/>
      <c r="AX171" s="162"/>
      <c r="AY171" s="162"/>
      <c r="BB171" s="45"/>
      <c r="BC171" s="45"/>
      <c r="BD171" s="117"/>
      <c r="BE171" s="117"/>
      <c r="BF171" s="99"/>
      <c r="BG171" s="99"/>
      <c r="BH171" s="74"/>
      <c r="BI171" s="117"/>
      <c r="BJ171" s="117"/>
      <c r="BK171" s="117"/>
      <c r="BL171" s="117"/>
      <c r="BM171" s="117"/>
      <c r="BN171" s="117"/>
      <c r="BO171" s="117"/>
      <c r="BP171" s="117"/>
      <c r="BQ171" s="117"/>
      <c r="BR171" s="117"/>
      <c r="BS171" s="117"/>
      <c r="BT171" s="117"/>
      <c r="BU171" s="117"/>
      <c r="BV171" s="117"/>
      <c r="BW171" s="117"/>
      <c r="BX171" s="102"/>
      <c r="BY171" s="102"/>
      <c r="CD171" s="102"/>
      <c r="CE171" s="102"/>
      <c r="CG171" s="86"/>
      <c r="CH171" s="86"/>
      <c r="CI171" s="86"/>
      <c r="CJ171" s="86"/>
      <c r="CL171" s="63"/>
      <c r="CM171" s="54"/>
      <c r="CN171" s="152"/>
      <c r="CO171" s="54"/>
      <c r="CP171" s="54"/>
      <c r="CQ171" s="86"/>
      <c r="CR171" s="63"/>
      <c r="CS171" s="63"/>
      <c r="CT171" s="63"/>
      <c r="CU171" s="63"/>
      <c r="CV171" s="86"/>
      <c r="CW171" s="86"/>
      <c r="CX171" s="86"/>
      <c r="DF171" s="54"/>
      <c r="DG171" s="54"/>
      <c r="DH171" s="63"/>
      <c r="DI171" s="63"/>
      <c r="DJ171" s="63"/>
      <c r="DK171" s="63"/>
      <c r="DL171" s="63"/>
      <c r="DN171" s="86"/>
      <c r="DO171" s="86"/>
      <c r="DP171" s="86"/>
      <c r="DR171" s="63"/>
      <c r="DW171" s="54"/>
      <c r="DX171" s="54"/>
      <c r="DY171" s="63"/>
      <c r="DZ171" s="63"/>
      <c r="EA171" s="63"/>
      <c r="EB171" s="63"/>
      <c r="EC171" s="63"/>
      <c r="EE171" s="86"/>
      <c r="EF171" s="86"/>
      <c r="EG171" s="86"/>
      <c r="EI171" s="63"/>
      <c r="EN171" s="54"/>
      <c r="EQ171" s="86"/>
      <c r="ER171" s="86"/>
      <c r="EX171" s="54"/>
      <c r="FG171" s="86"/>
      <c r="FL171" s="45"/>
      <c r="FT171" s="63"/>
      <c r="FU171" s="54"/>
      <c r="FV171" s="54"/>
      <c r="FW171" s="54"/>
      <c r="FX171" s="86"/>
      <c r="FY171" s="86"/>
      <c r="FZ171" s="102"/>
      <c r="GA171" s="86"/>
      <c r="GB171" s="86"/>
      <c r="GD171" s="63"/>
      <c r="GE171" s="63"/>
      <c r="GF171" s="63"/>
      <c r="GG171" s="63"/>
      <c r="GH171" s="45"/>
      <c r="GI171" s="54"/>
      <c r="GJ171" s="54"/>
      <c r="GL171" s="86"/>
      <c r="GR171" s="86"/>
      <c r="GS171" s="86"/>
      <c r="GU171" s="63"/>
      <c r="GV171" s="63"/>
      <c r="GW171" s="63"/>
      <c r="GX171" s="63"/>
      <c r="GZ171" s="63"/>
      <c r="HA171" s="54"/>
      <c r="HD171" s="86"/>
      <c r="HI171" s="86"/>
      <c r="HJ171" s="86"/>
      <c r="HQ171" s="63"/>
      <c r="HR171" s="54"/>
      <c r="HU171" s="86"/>
      <c r="HZ171" s="86"/>
      <c r="IA171" s="86"/>
      <c r="IF171" s="54"/>
      <c r="IH171" s="89"/>
      <c r="IK171" s="86"/>
    </row>
    <row r="172" spans="1:245">
      <c r="A172" s="86">
        <v>142</v>
      </c>
      <c r="B172" s="117"/>
      <c r="C172" s="117"/>
      <c r="D172" s="117"/>
      <c r="E172" s="117"/>
      <c r="K172" s="117"/>
      <c r="L172" s="45"/>
      <c r="M172" s="45"/>
      <c r="N172" s="45"/>
      <c r="O172" s="45"/>
      <c r="P172" s="45"/>
      <c r="Q172" s="45"/>
      <c r="R172" s="45"/>
      <c r="S172" s="117"/>
      <c r="T172" s="117"/>
      <c r="U172" s="74"/>
      <c r="V172" s="74"/>
      <c r="W172" s="74"/>
      <c r="X172" s="74"/>
      <c r="Y172" s="74"/>
      <c r="Z172" s="74"/>
      <c r="AA172" s="74"/>
      <c r="AB172" s="74"/>
      <c r="AC172" s="117"/>
      <c r="AD172" s="117"/>
      <c r="AE172" s="117"/>
      <c r="AF172" s="117"/>
      <c r="AG172" s="117"/>
      <c r="AH172" s="117"/>
      <c r="AI172" s="117"/>
      <c r="AJ172" s="117"/>
      <c r="AK172" s="117"/>
      <c r="AL172" s="117"/>
      <c r="AM172" s="117"/>
      <c r="AN172" s="117"/>
      <c r="AO172" s="117"/>
      <c r="AP172" s="117"/>
      <c r="AQ172" s="117"/>
      <c r="AR172" s="300"/>
      <c r="AS172" s="300"/>
      <c r="AT172" s="86"/>
      <c r="AU172" s="162"/>
      <c r="AV172" s="162"/>
      <c r="AW172" s="162"/>
      <c r="AX172" s="162"/>
      <c r="AY172" s="162"/>
      <c r="BB172" s="45"/>
      <c r="BC172" s="45"/>
      <c r="BD172" s="117"/>
      <c r="BE172" s="117"/>
      <c r="BF172" s="99"/>
      <c r="BG172" s="99"/>
      <c r="BH172" s="74"/>
      <c r="BI172" s="117"/>
      <c r="BJ172" s="117"/>
      <c r="BK172" s="117"/>
      <c r="BL172" s="117"/>
      <c r="BM172" s="117"/>
      <c r="BN172" s="117"/>
      <c r="BO172" s="117"/>
      <c r="BP172" s="117"/>
      <c r="BQ172" s="117"/>
      <c r="BR172" s="117"/>
      <c r="BS172" s="117"/>
      <c r="BT172" s="117"/>
      <c r="BU172" s="117"/>
      <c r="BV172" s="117"/>
      <c r="BW172" s="117"/>
      <c r="BX172" s="102"/>
      <c r="BY172" s="102"/>
      <c r="CD172" s="102"/>
      <c r="CE172" s="102"/>
      <c r="CG172" s="86"/>
      <c r="CH172" s="86"/>
      <c r="CI172" s="86"/>
      <c r="CJ172" s="86"/>
      <c r="CL172" s="63"/>
      <c r="CM172" s="54"/>
      <c r="CN172" s="152"/>
      <c r="CO172" s="54"/>
      <c r="CP172" s="54"/>
      <c r="CQ172" s="86"/>
      <c r="CR172" s="63"/>
      <c r="CS172" s="63"/>
      <c r="CT172" s="63"/>
      <c r="CU172" s="63"/>
      <c r="CV172" s="86"/>
      <c r="CW172" s="86"/>
      <c r="CX172" s="86"/>
      <c r="DF172" s="54"/>
      <c r="DG172" s="54"/>
      <c r="DH172" s="63"/>
      <c r="DI172" s="63"/>
      <c r="DJ172" s="63"/>
      <c r="DK172" s="63"/>
      <c r="DL172" s="63"/>
      <c r="DN172" s="86"/>
      <c r="DO172" s="86"/>
      <c r="DP172" s="86"/>
      <c r="DR172" s="63"/>
      <c r="DW172" s="54"/>
      <c r="DX172" s="54"/>
      <c r="DY172" s="63"/>
      <c r="DZ172" s="63"/>
      <c r="EA172" s="63"/>
      <c r="EB172" s="63"/>
      <c r="EC172" s="63"/>
      <c r="EE172" s="86"/>
      <c r="EF172" s="86"/>
      <c r="EG172" s="86"/>
      <c r="EI172" s="63"/>
      <c r="EN172" s="54"/>
      <c r="EQ172" s="86"/>
      <c r="ER172" s="86"/>
      <c r="EX172" s="54"/>
      <c r="FG172" s="86"/>
      <c r="FL172" s="45"/>
      <c r="FT172" s="63"/>
      <c r="FU172" s="54"/>
      <c r="FV172" s="54"/>
      <c r="FW172" s="54"/>
      <c r="FX172" s="86"/>
      <c r="FY172" s="86"/>
      <c r="FZ172" s="102"/>
      <c r="GA172" s="86"/>
      <c r="GB172" s="86"/>
      <c r="GD172" s="63"/>
      <c r="GE172" s="63"/>
      <c r="GF172" s="63"/>
      <c r="GG172" s="63"/>
      <c r="GH172" s="45"/>
      <c r="GI172" s="54"/>
      <c r="GJ172" s="54"/>
      <c r="GL172" s="86"/>
      <c r="GR172" s="86"/>
      <c r="GS172" s="86"/>
      <c r="GU172" s="63"/>
      <c r="GV172" s="63"/>
      <c r="GW172" s="63"/>
      <c r="GX172" s="63"/>
      <c r="GZ172" s="63"/>
      <c r="HA172" s="54"/>
      <c r="HD172" s="86"/>
      <c r="HI172" s="86"/>
      <c r="HJ172" s="86"/>
      <c r="HQ172" s="63"/>
      <c r="HR172" s="54"/>
      <c r="HU172" s="86"/>
      <c r="HZ172" s="86"/>
      <c r="IA172" s="86"/>
      <c r="IF172" s="54"/>
      <c r="IH172" s="89"/>
      <c r="IK172" s="86"/>
    </row>
    <row r="173" spans="1:245">
      <c r="A173" s="86">
        <v>143</v>
      </c>
      <c r="B173" s="117"/>
      <c r="C173" s="117"/>
      <c r="D173" s="117"/>
      <c r="E173" s="117"/>
      <c r="K173" s="117"/>
      <c r="L173" s="45"/>
      <c r="M173" s="45"/>
      <c r="N173" s="45"/>
      <c r="O173" s="45"/>
      <c r="P173" s="45"/>
      <c r="Q173" s="45"/>
      <c r="R173" s="45"/>
      <c r="S173" s="117"/>
      <c r="T173" s="117"/>
      <c r="U173" s="74"/>
      <c r="V173" s="74"/>
      <c r="W173" s="74"/>
      <c r="X173" s="74"/>
      <c r="Y173" s="74"/>
      <c r="Z173" s="74"/>
      <c r="AA173" s="74"/>
      <c r="AB173" s="74"/>
      <c r="AC173" s="117"/>
      <c r="AD173" s="117"/>
      <c r="AE173" s="117"/>
      <c r="AF173" s="117"/>
      <c r="AG173" s="117"/>
      <c r="AH173" s="117"/>
      <c r="AI173" s="117"/>
      <c r="AJ173" s="117"/>
      <c r="AK173" s="117"/>
      <c r="AL173" s="117"/>
      <c r="AM173" s="117"/>
      <c r="AN173" s="117"/>
      <c r="AO173" s="117"/>
      <c r="AP173" s="117"/>
      <c r="AQ173" s="117"/>
      <c r="AR173" s="300"/>
      <c r="AS173" s="300"/>
      <c r="AT173" s="86"/>
      <c r="AU173" s="162"/>
      <c r="AV173" s="162"/>
      <c r="AW173" s="162"/>
      <c r="AX173" s="162"/>
      <c r="AY173" s="162"/>
      <c r="BB173" s="45"/>
      <c r="BC173" s="45"/>
      <c r="BD173" s="117"/>
      <c r="BE173" s="117"/>
      <c r="BF173" s="99"/>
      <c r="BG173" s="99"/>
      <c r="BH173" s="74"/>
      <c r="BI173" s="117"/>
      <c r="BJ173" s="117"/>
      <c r="BK173" s="117"/>
      <c r="BL173" s="117"/>
      <c r="BM173" s="117"/>
      <c r="BN173" s="117"/>
      <c r="BO173" s="117"/>
      <c r="BP173" s="117"/>
      <c r="BQ173" s="117"/>
      <c r="BR173" s="117"/>
      <c r="BS173" s="117"/>
      <c r="BT173" s="117"/>
      <c r="BU173" s="117"/>
      <c r="BV173" s="117"/>
      <c r="BW173" s="117"/>
      <c r="BX173" s="102"/>
      <c r="BY173" s="102"/>
      <c r="CD173" s="102"/>
      <c r="CE173" s="102"/>
      <c r="CG173" s="86"/>
      <c r="CH173" s="86"/>
      <c r="CI173" s="86"/>
      <c r="CJ173" s="86"/>
      <c r="CL173" s="63"/>
      <c r="CM173" s="54"/>
      <c r="CN173" s="152"/>
      <c r="CO173" s="54"/>
      <c r="CP173" s="54"/>
      <c r="CQ173" s="86"/>
      <c r="CR173" s="63"/>
      <c r="CS173" s="63"/>
      <c r="CT173" s="63"/>
      <c r="CU173" s="63"/>
      <c r="CV173" s="86"/>
      <c r="CW173" s="86"/>
      <c r="CX173" s="86"/>
      <c r="DF173" s="54"/>
      <c r="DG173" s="54"/>
      <c r="DH173" s="63"/>
      <c r="DI173" s="63"/>
      <c r="DJ173" s="63"/>
      <c r="DK173" s="63"/>
      <c r="DL173" s="63"/>
      <c r="DN173" s="86"/>
      <c r="DO173" s="86"/>
      <c r="DP173" s="86"/>
      <c r="DR173" s="63"/>
      <c r="DW173" s="54"/>
      <c r="DX173" s="54"/>
      <c r="DY173" s="63"/>
      <c r="DZ173" s="63"/>
      <c r="EA173" s="63"/>
      <c r="EB173" s="63"/>
      <c r="EC173" s="63"/>
      <c r="EE173" s="86"/>
      <c r="EF173" s="86"/>
      <c r="EG173" s="86"/>
      <c r="EI173" s="63"/>
      <c r="EN173" s="54"/>
      <c r="EQ173" s="86"/>
      <c r="ER173" s="86"/>
      <c r="EX173" s="54"/>
      <c r="FG173" s="86"/>
      <c r="FL173" s="45"/>
      <c r="FT173" s="63"/>
      <c r="FU173" s="54"/>
      <c r="FV173" s="54"/>
      <c r="FW173" s="54"/>
      <c r="FX173" s="86"/>
      <c r="FY173" s="86"/>
      <c r="FZ173" s="102"/>
      <c r="GA173" s="86"/>
      <c r="GB173" s="86"/>
      <c r="GD173" s="63"/>
      <c r="GE173" s="63"/>
      <c r="GF173" s="63"/>
      <c r="GG173" s="63"/>
      <c r="GH173" s="45"/>
      <c r="GI173" s="54"/>
      <c r="GJ173" s="54"/>
      <c r="GL173" s="86"/>
      <c r="GR173" s="86"/>
      <c r="GS173" s="86"/>
      <c r="GU173" s="63"/>
      <c r="GV173" s="63"/>
      <c r="GW173" s="63"/>
      <c r="GX173" s="63"/>
      <c r="GZ173" s="63"/>
      <c r="HA173" s="54"/>
      <c r="HD173" s="86"/>
      <c r="HI173" s="86"/>
      <c r="HJ173" s="86"/>
      <c r="HQ173" s="63"/>
      <c r="HR173" s="54"/>
      <c r="HU173" s="86"/>
      <c r="HZ173" s="86"/>
      <c r="IA173" s="86"/>
      <c r="IF173" s="54"/>
      <c r="IH173" s="89"/>
      <c r="IK173" s="86"/>
    </row>
    <row r="174" spans="1:245">
      <c r="A174" s="86">
        <v>144</v>
      </c>
      <c r="B174" s="117"/>
      <c r="C174" s="117"/>
      <c r="D174" s="117"/>
      <c r="E174" s="117"/>
      <c r="K174" s="117"/>
      <c r="L174" s="45"/>
      <c r="M174" s="45"/>
      <c r="N174" s="45"/>
      <c r="O174" s="45"/>
      <c r="P174" s="45"/>
      <c r="Q174" s="45"/>
      <c r="R174" s="45"/>
      <c r="S174" s="117"/>
      <c r="T174" s="117"/>
      <c r="U174" s="74"/>
      <c r="V174" s="74"/>
      <c r="W174" s="74"/>
      <c r="X174" s="74"/>
      <c r="Y174" s="74"/>
      <c r="Z174" s="74"/>
      <c r="AA174" s="74"/>
      <c r="AB174" s="74"/>
      <c r="AC174" s="117"/>
      <c r="AD174" s="117"/>
      <c r="AE174" s="117"/>
      <c r="AF174" s="117"/>
      <c r="AG174" s="117"/>
      <c r="AH174" s="117"/>
      <c r="AI174" s="117"/>
      <c r="AJ174" s="117"/>
      <c r="AK174" s="117"/>
      <c r="AL174" s="117"/>
      <c r="AM174" s="117"/>
      <c r="AN174" s="117"/>
      <c r="AO174" s="117"/>
      <c r="AP174" s="117"/>
      <c r="AQ174" s="117"/>
      <c r="AR174" s="300"/>
      <c r="AS174" s="300"/>
      <c r="AT174" s="86"/>
      <c r="AU174" s="162"/>
      <c r="AV174" s="162"/>
      <c r="AW174" s="162"/>
      <c r="AX174" s="162"/>
      <c r="AY174" s="162"/>
      <c r="BB174" s="45"/>
      <c r="BC174" s="45"/>
      <c r="BD174" s="117"/>
      <c r="BE174" s="117"/>
      <c r="BF174" s="99"/>
      <c r="BG174" s="99"/>
      <c r="BH174" s="74"/>
      <c r="BI174" s="117"/>
      <c r="BJ174" s="117"/>
      <c r="BK174" s="117"/>
      <c r="BL174" s="117"/>
      <c r="BM174" s="117"/>
      <c r="BN174" s="117"/>
      <c r="BO174" s="117"/>
      <c r="BP174" s="117"/>
      <c r="BQ174" s="117"/>
      <c r="BR174" s="117"/>
      <c r="BS174" s="117"/>
      <c r="BT174" s="117"/>
      <c r="BU174" s="117"/>
      <c r="BV174" s="117"/>
      <c r="BW174" s="117"/>
      <c r="BX174" s="102"/>
      <c r="BY174" s="102"/>
      <c r="CD174" s="102"/>
      <c r="CE174" s="102"/>
      <c r="CG174" s="86"/>
      <c r="CH174" s="86"/>
      <c r="CI174" s="86"/>
      <c r="CJ174" s="86"/>
      <c r="CL174" s="63"/>
      <c r="CM174" s="54"/>
      <c r="CN174" s="152"/>
      <c r="CO174" s="54"/>
      <c r="CP174" s="54"/>
      <c r="CQ174" s="86"/>
      <c r="CR174" s="63"/>
      <c r="CS174" s="63"/>
      <c r="CT174" s="63"/>
      <c r="CU174" s="63"/>
      <c r="CV174" s="86"/>
      <c r="CW174" s="86"/>
      <c r="CX174" s="86"/>
      <c r="DF174" s="54"/>
      <c r="DG174" s="54"/>
      <c r="DH174" s="63"/>
      <c r="DI174" s="63"/>
      <c r="DJ174" s="63"/>
      <c r="DK174" s="63"/>
      <c r="DL174" s="63"/>
      <c r="DN174" s="86"/>
      <c r="DO174" s="86"/>
      <c r="DP174" s="86"/>
      <c r="DR174" s="63"/>
      <c r="DW174" s="54"/>
      <c r="DX174" s="54"/>
      <c r="DY174" s="63"/>
      <c r="DZ174" s="63"/>
      <c r="EA174" s="63"/>
      <c r="EB174" s="63"/>
      <c r="EC174" s="63"/>
      <c r="EE174" s="86"/>
      <c r="EF174" s="86"/>
      <c r="EG174" s="86"/>
      <c r="EI174" s="63"/>
      <c r="EN174" s="54"/>
      <c r="EQ174" s="86"/>
      <c r="ER174" s="86"/>
      <c r="EX174" s="54"/>
      <c r="FG174" s="86"/>
      <c r="FL174" s="45"/>
      <c r="FT174" s="63"/>
      <c r="FU174" s="54"/>
      <c r="FV174" s="54"/>
      <c r="FW174" s="54"/>
      <c r="FX174" s="86"/>
      <c r="FY174" s="86"/>
      <c r="FZ174" s="102"/>
      <c r="GA174" s="86"/>
      <c r="GB174" s="86"/>
      <c r="GD174" s="63"/>
      <c r="GE174" s="63"/>
      <c r="GF174" s="63"/>
      <c r="GG174" s="63"/>
      <c r="GH174" s="45"/>
      <c r="GI174" s="54"/>
      <c r="GJ174" s="54"/>
      <c r="GL174" s="86"/>
      <c r="GR174" s="86"/>
      <c r="GS174" s="86"/>
      <c r="GU174" s="63"/>
      <c r="GV174" s="63"/>
      <c r="GW174" s="63"/>
      <c r="GX174" s="63"/>
      <c r="GZ174" s="63"/>
      <c r="HA174" s="54"/>
      <c r="HD174" s="86"/>
      <c r="HI174" s="86"/>
      <c r="HJ174" s="86"/>
      <c r="HQ174" s="63"/>
      <c r="HR174" s="54"/>
      <c r="HU174" s="86"/>
      <c r="HZ174" s="86"/>
      <c r="IA174" s="86"/>
      <c r="IF174" s="54"/>
      <c r="IH174" s="89"/>
      <c r="IK174" s="86"/>
    </row>
    <row r="175" spans="1:245">
      <c r="A175" s="86">
        <v>145</v>
      </c>
      <c r="B175" s="117"/>
      <c r="C175" s="117"/>
      <c r="D175" s="117"/>
      <c r="E175" s="117"/>
      <c r="K175" s="117"/>
      <c r="L175" s="45"/>
      <c r="M175" s="45"/>
      <c r="N175" s="45"/>
      <c r="O175" s="45"/>
      <c r="P175" s="45"/>
      <c r="Q175" s="45"/>
      <c r="R175" s="45"/>
      <c r="S175" s="117"/>
      <c r="T175" s="117"/>
      <c r="U175" s="74"/>
      <c r="V175" s="74"/>
      <c r="W175" s="74"/>
      <c r="X175" s="74"/>
      <c r="Y175" s="74"/>
      <c r="Z175" s="74"/>
      <c r="AA175" s="74"/>
      <c r="AB175" s="74"/>
      <c r="AC175" s="117"/>
      <c r="AD175" s="117"/>
      <c r="AE175" s="117"/>
      <c r="AF175" s="117"/>
      <c r="AG175" s="117"/>
      <c r="AH175" s="117"/>
      <c r="AI175" s="117"/>
      <c r="AJ175" s="117"/>
      <c r="AK175" s="117"/>
      <c r="AL175" s="117"/>
      <c r="AM175" s="117"/>
      <c r="AN175" s="117"/>
      <c r="AO175" s="117"/>
      <c r="AP175" s="117"/>
      <c r="AQ175" s="117"/>
      <c r="AR175" s="300"/>
      <c r="AS175" s="300"/>
      <c r="AT175" s="86"/>
      <c r="AU175" s="162"/>
      <c r="AV175" s="162"/>
      <c r="AW175" s="162"/>
      <c r="AX175" s="162"/>
      <c r="AY175" s="162"/>
      <c r="BB175" s="45"/>
      <c r="BC175" s="45"/>
      <c r="BD175" s="117"/>
      <c r="BE175" s="117"/>
      <c r="BF175" s="99"/>
      <c r="BG175" s="99"/>
      <c r="BH175" s="74"/>
      <c r="BI175" s="117"/>
      <c r="BJ175" s="117"/>
      <c r="BK175" s="117"/>
      <c r="BL175" s="117"/>
      <c r="BM175" s="117"/>
      <c r="BN175" s="117"/>
      <c r="BO175" s="117"/>
      <c r="BP175" s="117"/>
      <c r="BQ175" s="117"/>
      <c r="BR175" s="117"/>
      <c r="BS175" s="117"/>
      <c r="BT175" s="117"/>
      <c r="BU175" s="117"/>
      <c r="BV175" s="117"/>
      <c r="BW175" s="117"/>
      <c r="BX175" s="102"/>
      <c r="BY175" s="102"/>
      <c r="CD175" s="102"/>
      <c r="CE175" s="102"/>
      <c r="CG175" s="86"/>
      <c r="CH175" s="86"/>
      <c r="CI175" s="86"/>
      <c r="CJ175" s="86"/>
      <c r="CL175" s="63"/>
      <c r="CM175" s="54"/>
      <c r="CN175" s="152"/>
      <c r="CO175" s="54"/>
      <c r="CP175" s="54"/>
      <c r="CQ175" s="86"/>
      <c r="CR175" s="63"/>
      <c r="CS175" s="63"/>
      <c r="CT175" s="63"/>
      <c r="CU175" s="63"/>
      <c r="CV175" s="86"/>
      <c r="CW175" s="86"/>
      <c r="CX175" s="86"/>
      <c r="DF175" s="54"/>
      <c r="DG175" s="54"/>
      <c r="DH175" s="63"/>
      <c r="DI175" s="63"/>
      <c r="DJ175" s="63"/>
      <c r="DK175" s="63"/>
      <c r="DL175" s="63"/>
      <c r="DN175" s="86"/>
      <c r="DO175" s="86"/>
      <c r="DP175" s="86"/>
      <c r="DR175" s="63"/>
      <c r="DW175" s="54"/>
      <c r="DX175" s="54"/>
      <c r="DY175" s="63"/>
      <c r="DZ175" s="63"/>
      <c r="EA175" s="63"/>
      <c r="EB175" s="63"/>
      <c r="EC175" s="63"/>
      <c r="EE175" s="86"/>
      <c r="EF175" s="86"/>
      <c r="EG175" s="86"/>
      <c r="EI175" s="63"/>
      <c r="EN175" s="54"/>
      <c r="EQ175" s="86"/>
      <c r="ER175" s="86"/>
      <c r="EX175" s="54"/>
      <c r="FG175" s="86"/>
      <c r="FL175" s="45"/>
      <c r="FT175" s="63"/>
      <c r="FU175" s="54"/>
      <c r="FV175" s="54"/>
      <c r="FW175" s="54"/>
      <c r="FX175" s="86"/>
      <c r="FY175" s="86"/>
      <c r="FZ175" s="102"/>
      <c r="GA175" s="86"/>
      <c r="GB175" s="86"/>
      <c r="GD175" s="63"/>
      <c r="GE175" s="63"/>
      <c r="GF175" s="63"/>
      <c r="GG175" s="63"/>
      <c r="GH175" s="45"/>
      <c r="GI175" s="54"/>
      <c r="GJ175" s="54"/>
      <c r="GL175" s="86"/>
      <c r="GR175" s="86"/>
      <c r="GS175" s="86"/>
      <c r="GU175" s="63"/>
      <c r="GV175" s="63"/>
      <c r="GW175" s="63"/>
      <c r="GX175" s="63"/>
      <c r="GZ175" s="63"/>
      <c r="HA175" s="54"/>
      <c r="HD175" s="86"/>
      <c r="HI175" s="86"/>
      <c r="HJ175" s="86"/>
      <c r="HQ175" s="63"/>
      <c r="HR175" s="54"/>
      <c r="HU175" s="86"/>
      <c r="HZ175" s="86"/>
      <c r="IA175" s="86"/>
      <c r="IF175" s="54"/>
      <c r="IH175" s="89"/>
      <c r="IK175" s="86"/>
    </row>
    <row r="176" spans="1:245">
      <c r="A176" s="86">
        <v>146</v>
      </c>
      <c r="B176" s="117"/>
      <c r="C176" s="117"/>
      <c r="D176" s="117"/>
      <c r="E176" s="117"/>
      <c r="K176" s="117"/>
      <c r="L176" s="45"/>
      <c r="M176" s="45"/>
      <c r="N176" s="45"/>
      <c r="O176" s="45"/>
      <c r="P176" s="45"/>
      <c r="Q176" s="45"/>
      <c r="R176" s="45"/>
      <c r="S176" s="117"/>
      <c r="T176" s="117"/>
      <c r="U176" s="74"/>
      <c r="V176" s="74"/>
      <c r="W176" s="74"/>
      <c r="X176" s="74"/>
      <c r="Y176" s="74"/>
      <c r="Z176" s="74"/>
      <c r="AA176" s="74"/>
      <c r="AB176" s="74"/>
      <c r="AC176" s="117"/>
      <c r="AD176" s="117"/>
      <c r="AE176" s="117"/>
      <c r="AF176" s="117"/>
      <c r="AG176" s="117"/>
      <c r="AH176" s="117"/>
      <c r="AI176" s="117"/>
      <c r="AJ176" s="117"/>
      <c r="AK176" s="117"/>
      <c r="AL176" s="117"/>
      <c r="AM176" s="117"/>
      <c r="AN176" s="117"/>
      <c r="AO176" s="117"/>
      <c r="AP176" s="117"/>
      <c r="AQ176" s="117"/>
      <c r="AR176" s="300"/>
      <c r="AS176" s="300"/>
      <c r="AT176" s="86"/>
      <c r="AU176" s="162"/>
      <c r="AV176" s="162"/>
      <c r="AW176" s="162"/>
      <c r="AX176" s="162"/>
      <c r="AY176" s="162"/>
      <c r="BB176" s="45"/>
      <c r="BC176" s="45"/>
      <c r="BD176" s="117"/>
      <c r="BE176" s="117"/>
      <c r="BF176" s="99"/>
      <c r="BG176" s="99"/>
      <c r="BH176" s="74"/>
      <c r="BI176" s="117"/>
      <c r="BJ176" s="117"/>
      <c r="BK176" s="117"/>
      <c r="BL176" s="117"/>
      <c r="BM176" s="117"/>
      <c r="BN176" s="117"/>
      <c r="BO176" s="117"/>
      <c r="BP176" s="117"/>
      <c r="BQ176" s="117"/>
      <c r="BR176" s="117"/>
      <c r="BS176" s="117"/>
      <c r="BT176" s="117"/>
      <c r="BU176" s="117"/>
      <c r="BV176" s="117"/>
      <c r="BW176" s="117"/>
      <c r="BX176" s="102"/>
      <c r="BY176" s="102"/>
      <c r="CD176" s="102"/>
      <c r="CE176" s="102"/>
      <c r="CG176" s="86"/>
      <c r="CH176" s="86"/>
      <c r="CI176" s="86"/>
      <c r="CJ176" s="86"/>
      <c r="CL176" s="63"/>
      <c r="CM176" s="54"/>
      <c r="CN176" s="152"/>
      <c r="CO176" s="54"/>
      <c r="CP176" s="54"/>
      <c r="CQ176" s="86"/>
      <c r="CR176" s="63"/>
      <c r="CS176" s="63"/>
      <c r="CT176" s="63"/>
      <c r="CU176" s="63"/>
      <c r="CV176" s="86"/>
      <c r="CW176" s="86"/>
      <c r="CX176" s="86"/>
      <c r="DF176" s="54"/>
      <c r="DG176" s="54"/>
      <c r="DH176" s="63"/>
      <c r="DI176" s="63"/>
      <c r="DJ176" s="63"/>
      <c r="DK176" s="63"/>
      <c r="DL176" s="63"/>
      <c r="DN176" s="86"/>
      <c r="DO176" s="86"/>
      <c r="DP176" s="86"/>
      <c r="DR176" s="63"/>
      <c r="DW176" s="54"/>
      <c r="DX176" s="54"/>
      <c r="DY176" s="63"/>
      <c r="DZ176" s="63"/>
      <c r="EA176" s="63"/>
      <c r="EB176" s="63"/>
      <c r="EC176" s="63"/>
      <c r="EE176" s="86"/>
      <c r="EF176" s="86"/>
      <c r="EG176" s="86"/>
      <c r="EI176" s="63"/>
      <c r="EN176" s="54"/>
      <c r="EQ176" s="86"/>
      <c r="ER176" s="86"/>
      <c r="EX176" s="54"/>
      <c r="FG176" s="86"/>
      <c r="FL176" s="45"/>
      <c r="FT176" s="63"/>
      <c r="FU176" s="54"/>
      <c r="FV176" s="54"/>
      <c r="FW176" s="54"/>
      <c r="FX176" s="86"/>
      <c r="FY176" s="86"/>
      <c r="FZ176" s="102"/>
      <c r="GA176" s="86"/>
      <c r="GB176" s="86"/>
      <c r="GD176" s="63"/>
      <c r="GE176" s="63"/>
      <c r="GF176" s="63"/>
      <c r="GG176" s="63"/>
      <c r="GH176" s="45"/>
      <c r="GI176" s="54"/>
      <c r="GJ176" s="54"/>
      <c r="GL176" s="86"/>
      <c r="GR176" s="86"/>
      <c r="GS176" s="86"/>
      <c r="GU176" s="63"/>
      <c r="GV176" s="63"/>
      <c r="GW176" s="63"/>
      <c r="GX176" s="63"/>
      <c r="GZ176" s="63"/>
      <c r="HA176" s="54"/>
      <c r="HD176" s="86"/>
      <c r="HI176" s="86"/>
      <c r="HJ176" s="86"/>
      <c r="HQ176" s="63"/>
      <c r="HR176" s="54"/>
      <c r="HU176" s="86"/>
      <c r="HZ176" s="86"/>
      <c r="IA176" s="86"/>
      <c r="IF176" s="54"/>
      <c r="IH176" s="89"/>
      <c r="IK176" s="86"/>
    </row>
    <row r="177" spans="1:245">
      <c r="A177" s="86">
        <v>147</v>
      </c>
      <c r="B177" s="117"/>
      <c r="C177" s="117"/>
      <c r="D177" s="117"/>
      <c r="E177" s="117"/>
      <c r="K177" s="117"/>
      <c r="L177" s="45"/>
      <c r="M177" s="45"/>
      <c r="N177" s="45"/>
      <c r="O177" s="45"/>
      <c r="P177" s="45"/>
      <c r="Q177" s="45"/>
      <c r="R177" s="45"/>
      <c r="S177" s="117"/>
      <c r="T177" s="117"/>
      <c r="U177" s="74"/>
      <c r="V177" s="74"/>
      <c r="W177" s="74"/>
      <c r="X177" s="74"/>
      <c r="Y177" s="74"/>
      <c r="Z177" s="74"/>
      <c r="AA177" s="74"/>
      <c r="AB177" s="74"/>
      <c r="AC177" s="117"/>
      <c r="AD177" s="117"/>
      <c r="AE177" s="117"/>
      <c r="AF177" s="117"/>
      <c r="AG177" s="117"/>
      <c r="AH177" s="117"/>
      <c r="AI177" s="117"/>
      <c r="AJ177" s="117"/>
      <c r="AK177" s="117"/>
      <c r="AL177" s="117"/>
      <c r="AM177" s="117"/>
      <c r="AN177" s="117"/>
      <c r="AO177" s="117"/>
      <c r="AP177" s="117"/>
      <c r="AQ177" s="117"/>
      <c r="AR177" s="300"/>
      <c r="AS177" s="300"/>
      <c r="AT177" s="86"/>
      <c r="AU177" s="162"/>
      <c r="AV177" s="162"/>
      <c r="AW177" s="162"/>
      <c r="AX177" s="162"/>
      <c r="AY177" s="162"/>
      <c r="BB177" s="45"/>
      <c r="BC177" s="45"/>
      <c r="BD177" s="117"/>
      <c r="BE177" s="117"/>
      <c r="BF177" s="99"/>
      <c r="BG177" s="99"/>
      <c r="BH177" s="74"/>
      <c r="BI177" s="117"/>
      <c r="BJ177" s="117"/>
      <c r="BK177" s="117"/>
      <c r="BL177" s="117"/>
      <c r="BM177" s="117"/>
      <c r="BN177" s="117"/>
      <c r="BO177" s="117"/>
      <c r="BP177" s="117"/>
      <c r="BQ177" s="117"/>
      <c r="BR177" s="117"/>
      <c r="BS177" s="117"/>
      <c r="BT177" s="117"/>
      <c r="BU177" s="117"/>
      <c r="BV177" s="117"/>
      <c r="BW177" s="117"/>
      <c r="BX177" s="102"/>
      <c r="BY177" s="102"/>
      <c r="CD177" s="102"/>
      <c r="CE177" s="102"/>
      <c r="CG177" s="86"/>
      <c r="CH177" s="86"/>
      <c r="CI177" s="86"/>
      <c r="CJ177" s="86"/>
      <c r="CL177" s="63"/>
      <c r="CM177" s="54"/>
      <c r="CN177" s="152"/>
      <c r="CO177" s="54"/>
      <c r="CP177" s="54"/>
      <c r="CQ177" s="86"/>
      <c r="CR177" s="63"/>
      <c r="CS177" s="63"/>
      <c r="CT177" s="63"/>
      <c r="CU177" s="63"/>
      <c r="CV177" s="86"/>
      <c r="CW177" s="86"/>
      <c r="CX177" s="86"/>
      <c r="DF177" s="54"/>
      <c r="DG177" s="54"/>
      <c r="DH177" s="63"/>
      <c r="DI177" s="63"/>
      <c r="DJ177" s="63"/>
      <c r="DK177" s="63"/>
      <c r="DL177" s="63"/>
      <c r="DN177" s="86"/>
      <c r="DO177" s="86"/>
      <c r="DP177" s="86"/>
      <c r="DR177" s="63"/>
      <c r="DW177" s="54"/>
      <c r="DX177" s="54"/>
      <c r="DY177" s="63"/>
      <c r="DZ177" s="63"/>
      <c r="EA177" s="63"/>
      <c r="EB177" s="63"/>
      <c r="EC177" s="63"/>
      <c r="EE177" s="86"/>
      <c r="EF177" s="86"/>
      <c r="EG177" s="86"/>
      <c r="EI177" s="63"/>
      <c r="EN177" s="54"/>
      <c r="EQ177" s="86"/>
      <c r="ER177" s="86"/>
      <c r="EX177" s="54"/>
      <c r="FG177" s="86"/>
      <c r="FL177" s="45"/>
      <c r="FT177" s="63"/>
      <c r="FU177" s="54"/>
      <c r="FV177" s="54"/>
      <c r="FW177" s="54"/>
      <c r="FX177" s="86"/>
      <c r="FY177" s="86"/>
      <c r="FZ177" s="102"/>
      <c r="GA177" s="86"/>
      <c r="GB177" s="86"/>
      <c r="GD177" s="63"/>
      <c r="GE177" s="63"/>
      <c r="GF177" s="63"/>
      <c r="GG177" s="63"/>
      <c r="GH177" s="45"/>
      <c r="GI177" s="54"/>
      <c r="GJ177" s="54"/>
      <c r="GL177" s="86"/>
      <c r="GR177" s="86"/>
      <c r="GS177" s="86"/>
      <c r="GU177" s="63"/>
      <c r="GV177" s="63"/>
      <c r="GW177" s="63"/>
      <c r="GX177" s="63"/>
      <c r="GZ177" s="63"/>
      <c r="HA177" s="54"/>
      <c r="HD177" s="86"/>
      <c r="HI177" s="86"/>
      <c r="HJ177" s="86"/>
      <c r="HQ177" s="63"/>
      <c r="HR177" s="54"/>
      <c r="HU177" s="86"/>
      <c r="HZ177" s="86"/>
      <c r="IA177" s="86"/>
      <c r="IF177" s="54"/>
      <c r="IH177" s="89"/>
      <c r="IK177" s="86"/>
    </row>
    <row r="178" spans="1:245">
      <c r="A178" s="86">
        <v>148</v>
      </c>
      <c r="B178" s="117"/>
      <c r="C178" s="117"/>
      <c r="D178" s="117"/>
      <c r="E178" s="117"/>
      <c r="K178" s="117"/>
      <c r="L178" s="45"/>
      <c r="M178" s="45"/>
      <c r="N178" s="45"/>
      <c r="O178" s="45"/>
      <c r="P178" s="45"/>
      <c r="Q178" s="45"/>
      <c r="R178" s="45"/>
      <c r="S178" s="117"/>
      <c r="T178" s="117"/>
      <c r="U178" s="74"/>
      <c r="V178" s="74"/>
      <c r="W178" s="74"/>
      <c r="X178" s="74"/>
      <c r="Y178" s="74"/>
      <c r="Z178" s="74"/>
      <c r="AA178" s="74"/>
      <c r="AB178" s="74"/>
      <c r="AC178" s="117"/>
      <c r="AD178" s="117"/>
      <c r="AE178" s="117"/>
      <c r="AF178" s="117"/>
      <c r="AG178" s="117"/>
      <c r="AH178" s="117"/>
      <c r="AI178" s="117"/>
      <c r="AJ178" s="117"/>
      <c r="AK178" s="117"/>
      <c r="AL178" s="117"/>
      <c r="AM178" s="117"/>
      <c r="AN178" s="117"/>
      <c r="AO178" s="117"/>
      <c r="AP178" s="117"/>
      <c r="AQ178" s="117"/>
      <c r="AR178" s="300"/>
      <c r="AS178" s="300"/>
      <c r="AT178" s="86"/>
      <c r="AU178" s="162"/>
      <c r="AV178" s="162"/>
      <c r="AW178" s="162"/>
      <c r="AX178" s="162"/>
      <c r="AY178" s="162"/>
      <c r="BB178" s="45"/>
      <c r="BC178" s="45"/>
      <c r="BD178" s="117"/>
      <c r="BE178" s="117"/>
      <c r="BF178" s="99"/>
      <c r="BG178" s="99"/>
      <c r="BH178" s="74"/>
      <c r="BI178" s="117"/>
      <c r="BJ178" s="117"/>
      <c r="BK178" s="117"/>
      <c r="BL178" s="117"/>
      <c r="BM178" s="117"/>
      <c r="BN178" s="117"/>
      <c r="BO178" s="117"/>
      <c r="BP178" s="117"/>
      <c r="BQ178" s="117"/>
      <c r="BR178" s="117"/>
      <c r="BS178" s="117"/>
      <c r="BT178" s="117"/>
      <c r="BU178" s="117"/>
      <c r="BV178" s="117"/>
      <c r="BW178" s="117"/>
      <c r="BX178" s="102"/>
      <c r="BY178" s="102"/>
      <c r="CD178" s="102"/>
      <c r="CE178" s="102"/>
      <c r="CG178" s="86"/>
      <c r="CH178" s="86"/>
      <c r="CI178" s="86"/>
      <c r="CJ178" s="86"/>
      <c r="CL178" s="63"/>
      <c r="CM178" s="54"/>
      <c r="CN178" s="152"/>
      <c r="CO178" s="54"/>
      <c r="CP178" s="54"/>
      <c r="CQ178" s="86"/>
      <c r="CR178" s="63"/>
      <c r="CS178" s="63"/>
      <c r="CT178" s="63"/>
      <c r="CU178" s="63"/>
      <c r="CV178" s="86"/>
      <c r="CW178" s="86"/>
      <c r="CX178" s="86"/>
      <c r="DF178" s="54"/>
      <c r="DG178" s="54"/>
      <c r="DH178" s="63"/>
      <c r="DI178" s="63"/>
      <c r="DJ178" s="63"/>
      <c r="DK178" s="63"/>
      <c r="DL178" s="63"/>
      <c r="DN178" s="86"/>
      <c r="DO178" s="86"/>
      <c r="DP178" s="86"/>
      <c r="DR178" s="63"/>
      <c r="DW178" s="54"/>
      <c r="DX178" s="54"/>
      <c r="DY178" s="63"/>
      <c r="DZ178" s="63"/>
      <c r="EA178" s="63"/>
      <c r="EB178" s="63"/>
      <c r="EC178" s="63"/>
      <c r="EE178" s="86"/>
      <c r="EF178" s="86"/>
      <c r="EG178" s="86"/>
      <c r="EI178" s="63"/>
      <c r="EN178" s="54"/>
      <c r="EQ178" s="86"/>
      <c r="ER178" s="86"/>
      <c r="EX178" s="54"/>
      <c r="FG178" s="86"/>
      <c r="FL178" s="45"/>
      <c r="FT178" s="63"/>
      <c r="FU178" s="54"/>
      <c r="FV178" s="54"/>
      <c r="FW178" s="54"/>
      <c r="FX178" s="86"/>
      <c r="FY178" s="86"/>
      <c r="FZ178" s="102"/>
      <c r="GA178" s="86"/>
      <c r="GB178" s="86"/>
      <c r="GD178" s="63"/>
      <c r="GE178" s="63"/>
      <c r="GF178" s="63"/>
      <c r="GG178" s="63"/>
      <c r="GH178" s="45"/>
      <c r="GI178" s="54"/>
      <c r="GJ178" s="54"/>
      <c r="GL178" s="86"/>
      <c r="GR178" s="86"/>
      <c r="GS178" s="86"/>
      <c r="GU178" s="63"/>
      <c r="GV178" s="63"/>
      <c r="GW178" s="63"/>
      <c r="GX178" s="63"/>
      <c r="GZ178" s="63"/>
      <c r="HA178" s="54"/>
      <c r="HD178" s="86"/>
      <c r="HI178" s="86"/>
      <c r="HJ178" s="86"/>
      <c r="HQ178" s="63"/>
      <c r="HR178" s="54"/>
      <c r="HU178" s="86"/>
      <c r="HZ178" s="86"/>
      <c r="IA178" s="86"/>
      <c r="IF178" s="54"/>
      <c r="IH178" s="89"/>
      <c r="IK178" s="86"/>
    </row>
    <row r="179" spans="1:245">
      <c r="A179" s="86">
        <v>149</v>
      </c>
      <c r="B179" s="117"/>
      <c r="C179" s="117"/>
      <c r="D179" s="117"/>
      <c r="E179" s="117"/>
      <c r="K179" s="117"/>
      <c r="L179" s="45"/>
      <c r="M179" s="45"/>
      <c r="N179" s="45"/>
      <c r="O179" s="45"/>
      <c r="P179" s="45"/>
      <c r="Q179" s="45"/>
      <c r="R179" s="45"/>
      <c r="S179" s="117"/>
      <c r="T179" s="117"/>
      <c r="U179" s="74"/>
      <c r="V179" s="74"/>
      <c r="W179" s="74"/>
      <c r="X179" s="74"/>
      <c r="Y179" s="74"/>
      <c r="Z179" s="74"/>
      <c r="AA179" s="74"/>
      <c r="AB179" s="74"/>
      <c r="AC179" s="117"/>
      <c r="AD179" s="117"/>
      <c r="AE179" s="117"/>
      <c r="AF179" s="117"/>
      <c r="AG179" s="117"/>
      <c r="AH179" s="117"/>
      <c r="AI179" s="117"/>
      <c r="AJ179" s="117"/>
      <c r="AK179" s="117"/>
      <c r="AL179" s="117"/>
      <c r="AM179" s="117"/>
      <c r="AN179" s="117"/>
      <c r="AO179" s="117"/>
      <c r="AP179" s="117"/>
      <c r="AQ179" s="117"/>
      <c r="AR179" s="300"/>
      <c r="AS179" s="300"/>
      <c r="AT179" s="86"/>
      <c r="AU179" s="162"/>
      <c r="AV179" s="162"/>
      <c r="AW179" s="162"/>
      <c r="AX179" s="162"/>
      <c r="AY179" s="162"/>
      <c r="BB179" s="45"/>
      <c r="BC179" s="45"/>
      <c r="BD179" s="117"/>
      <c r="BE179" s="117"/>
      <c r="BF179" s="99"/>
      <c r="BG179" s="99"/>
      <c r="BH179" s="74"/>
      <c r="BI179" s="117"/>
      <c r="BJ179" s="117"/>
      <c r="BK179" s="117"/>
      <c r="BL179" s="117"/>
      <c r="BM179" s="117"/>
      <c r="BN179" s="117"/>
      <c r="BO179" s="117"/>
      <c r="BP179" s="117"/>
      <c r="BQ179" s="117"/>
      <c r="BR179" s="117"/>
      <c r="BS179" s="117"/>
      <c r="BT179" s="117"/>
      <c r="BU179" s="117"/>
      <c r="BV179" s="117"/>
      <c r="BW179" s="117"/>
      <c r="BX179" s="102"/>
      <c r="BY179" s="102"/>
      <c r="CD179" s="102"/>
      <c r="CE179" s="102"/>
      <c r="CG179" s="86"/>
      <c r="CH179" s="86"/>
      <c r="CI179" s="86"/>
      <c r="CJ179" s="86"/>
      <c r="CL179" s="63"/>
      <c r="CM179" s="54"/>
      <c r="CN179" s="152"/>
      <c r="CO179" s="54"/>
      <c r="CP179" s="54"/>
      <c r="CQ179" s="86"/>
      <c r="CR179" s="63"/>
      <c r="CS179" s="63"/>
      <c r="CT179" s="63"/>
      <c r="CU179" s="63"/>
      <c r="CV179" s="86"/>
      <c r="CW179" s="86"/>
      <c r="CX179" s="86"/>
      <c r="DF179" s="54"/>
      <c r="DG179" s="54"/>
      <c r="DH179" s="63"/>
      <c r="DI179" s="63"/>
      <c r="DJ179" s="63"/>
      <c r="DK179" s="63"/>
      <c r="DL179" s="63"/>
      <c r="DN179" s="86"/>
      <c r="DO179" s="86"/>
      <c r="DP179" s="86"/>
      <c r="DR179" s="63"/>
      <c r="DW179" s="54"/>
      <c r="DX179" s="54"/>
      <c r="DY179" s="63"/>
      <c r="DZ179" s="63"/>
      <c r="EA179" s="63"/>
      <c r="EB179" s="63"/>
      <c r="EC179" s="63"/>
      <c r="EE179" s="86"/>
      <c r="EF179" s="86"/>
      <c r="EG179" s="86"/>
      <c r="EI179" s="63"/>
      <c r="EN179" s="54"/>
      <c r="EQ179" s="86"/>
      <c r="ER179" s="86"/>
      <c r="EX179" s="54"/>
      <c r="FG179" s="86"/>
      <c r="FL179" s="45"/>
      <c r="FT179" s="63"/>
      <c r="FU179" s="54"/>
      <c r="FV179" s="54"/>
      <c r="FW179" s="54"/>
      <c r="FX179" s="86"/>
      <c r="FY179" s="86"/>
      <c r="FZ179" s="102"/>
      <c r="GA179" s="86"/>
      <c r="GB179" s="86"/>
      <c r="GD179" s="63"/>
      <c r="GE179" s="63"/>
      <c r="GF179" s="63"/>
      <c r="GG179" s="63"/>
      <c r="GH179" s="45"/>
      <c r="GI179" s="54"/>
      <c r="GJ179" s="54"/>
      <c r="GL179" s="86"/>
      <c r="GR179" s="86"/>
      <c r="GS179" s="86"/>
      <c r="GU179" s="63"/>
      <c r="GV179" s="63"/>
      <c r="GW179" s="63"/>
      <c r="GX179" s="63"/>
      <c r="GZ179" s="63"/>
      <c r="HA179" s="54"/>
      <c r="HD179" s="86"/>
      <c r="HI179" s="86"/>
      <c r="HJ179" s="86"/>
      <c r="HQ179" s="63"/>
      <c r="HR179" s="54"/>
      <c r="HU179" s="86"/>
      <c r="HZ179" s="86"/>
      <c r="IA179" s="86"/>
      <c r="IF179" s="54"/>
      <c r="IH179" s="89"/>
      <c r="IK179" s="86"/>
    </row>
    <row r="180" spans="1:245">
      <c r="A180" s="86">
        <v>150</v>
      </c>
      <c r="B180" s="117"/>
      <c r="C180" s="117"/>
      <c r="D180" s="117"/>
      <c r="E180" s="117"/>
      <c r="K180" s="117"/>
      <c r="L180" s="45"/>
      <c r="M180" s="45"/>
      <c r="N180" s="45"/>
      <c r="O180" s="45"/>
      <c r="P180" s="45"/>
      <c r="Q180" s="45"/>
      <c r="R180" s="45"/>
      <c r="S180" s="117"/>
      <c r="T180" s="117"/>
      <c r="U180" s="74"/>
      <c r="V180" s="74"/>
      <c r="W180" s="74"/>
      <c r="X180" s="74"/>
      <c r="Y180" s="74"/>
      <c r="Z180" s="74"/>
      <c r="AA180" s="74"/>
      <c r="AB180" s="74"/>
      <c r="AC180" s="117"/>
      <c r="AD180" s="117"/>
      <c r="AE180" s="117"/>
      <c r="AF180" s="117"/>
      <c r="AG180" s="117"/>
      <c r="AH180" s="117"/>
      <c r="AI180" s="117"/>
      <c r="AJ180" s="117"/>
      <c r="AK180" s="117"/>
      <c r="AL180" s="117"/>
      <c r="AM180" s="117"/>
      <c r="AN180" s="117"/>
      <c r="AO180" s="117"/>
      <c r="AP180" s="117"/>
      <c r="AQ180" s="117"/>
      <c r="AR180" s="300"/>
      <c r="AS180" s="300"/>
      <c r="AT180" s="86"/>
      <c r="AU180" s="162"/>
      <c r="AV180" s="162"/>
      <c r="AW180" s="162"/>
      <c r="AX180" s="162"/>
      <c r="AY180" s="162"/>
      <c r="BB180" s="45"/>
      <c r="BC180" s="45"/>
      <c r="BD180" s="117"/>
      <c r="BE180" s="117"/>
      <c r="BF180" s="99"/>
      <c r="BG180" s="99"/>
      <c r="BH180" s="74"/>
      <c r="BI180" s="117"/>
      <c r="BJ180" s="117"/>
      <c r="BK180" s="117"/>
      <c r="BL180" s="117"/>
      <c r="BM180" s="117"/>
      <c r="BN180" s="117"/>
      <c r="BO180" s="117"/>
      <c r="BP180" s="117"/>
      <c r="BQ180" s="117"/>
      <c r="BR180" s="117"/>
      <c r="BS180" s="117"/>
      <c r="BT180" s="117"/>
      <c r="BU180" s="117"/>
      <c r="BV180" s="117"/>
      <c r="BW180" s="117"/>
      <c r="BX180" s="102"/>
      <c r="BY180" s="102"/>
      <c r="CD180" s="102"/>
      <c r="CE180" s="102"/>
      <c r="CG180" s="86"/>
      <c r="CH180" s="86"/>
      <c r="CI180" s="86"/>
      <c r="CJ180" s="86"/>
      <c r="CL180" s="63"/>
      <c r="CM180" s="54"/>
      <c r="CN180" s="152"/>
      <c r="CO180" s="54"/>
      <c r="CP180" s="54"/>
      <c r="CQ180" s="86"/>
      <c r="CR180" s="63"/>
      <c r="CS180" s="63"/>
      <c r="CT180" s="63"/>
      <c r="CU180" s="63"/>
      <c r="CV180" s="86"/>
      <c r="CW180" s="86"/>
      <c r="CX180" s="86"/>
      <c r="DF180" s="54"/>
      <c r="DG180" s="54"/>
      <c r="DH180" s="63"/>
      <c r="DI180" s="63"/>
      <c r="DJ180" s="63"/>
      <c r="DK180" s="63"/>
      <c r="DL180" s="63"/>
      <c r="DN180" s="86"/>
      <c r="DO180" s="86"/>
      <c r="DP180" s="86"/>
      <c r="DR180" s="63"/>
      <c r="DW180" s="54"/>
      <c r="DX180" s="54"/>
      <c r="DY180" s="63"/>
      <c r="DZ180" s="63"/>
      <c r="EA180" s="63"/>
      <c r="EB180" s="63"/>
      <c r="EC180" s="63"/>
      <c r="EE180" s="86"/>
      <c r="EF180" s="86"/>
      <c r="EG180" s="86"/>
      <c r="EI180" s="63"/>
      <c r="EN180" s="54"/>
      <c r="EQ180" s="86"/>
      <c r="ER180" s="86"/>
      <c r="EX180" s="54"/>
      <c r="FG180" s="86"/>
      <c r="FL180" s="45"/>
      <c r="FT180" s="63"/>
      <c r="FU180" s="54"/>
      <c r="FV180" s="54"/>
      <c r="FW180" s="54"/>
      <c r="FX180" s="86"/>
      <c r="FY180" s="86"/>
      <c r="FZ180" s="102"/>
      <c r="GA180" s="86"/>
      <c r="GB180" s="86"/>
      <c r="GD180" s="63"/>
      <c r="GE180" s="63"/>
      <c r="GF180" s="63"/>
      <c r="GG180" s="63"/>
      <c r="GH180" s="45"/>
      <c r="GI180" s="54"/>
      <c r="GJ180" s="54"/>
      <c r="GL180" s="86"/>
      <c r="GR180" s="86"/>
      <c r="GS180" s="86"/>
      <c r="GU180" s="63"/>
      <c r="GV180" s="63"/>
      <c r="GW180" s="63"/>
      <c r="GX180" s="63"/>
      <c r="GZ180" s="63"/>
      <c r="HA180" s="54"/>
      <c r="HD180" s="86"/>
      <c r="HI180" s="86"/>
      <c r="HJ180" s="86"/>
      <c r="HQ180" s="63"/>
      <c r="HR180" s="54"/>
      <c r="HU180" s="86"/>
      <c r="HZ180" s="86"/>
      <c r="IA180" s="86"/>
      <c r="IF180" s="54"/>
      <c r="IH180" s="89"/>
      <c r="IK180" s="86"/>
    </row>
    <row r="181" spans="1:245">
      <c r="A181" s="86">
        <v>151</v>
      </c>
      <c r="B181" s="117"/>
      <c r="C181" s="117"/>
      <c r="D181" s="117"/>
      <c r="E181" s="117"/>
      <c r="K181" s="117"/>
      <c r="L181" s="45"/>
      <c r="M181" s="45"/>
      <c r="N181" s="45"/>
      <c r="O181" s="45"/>
      <c r="P181" s="45"/>
      <c r="Q181" s="45"/>
      <c r="R181" s="45"/>
      <c r="S181" s="117"/>
      <c r="T181" s="117"/>
      <c r="U181" s="74"/>
      <c r="V181" s="74"/>
      <c r="W181" s="74"/>
      <c r="X181" s="74"/>
      <c r="Y181" s="74"/>
      <c r="Z181" s="74"/>
      <c r="AA181" s="74"/>
      <c r="AB181" s="74"/>
      <c r="AC181" s="117"/>
      <c r="AD181" s="117"/>
      <c r="AE181" s="117"/>
      <c r="AF181" s="117"/>
      <c r="AG181" s="117"/>
      <c r="AH181" s="117"/>
      <c r="AI181" s="117"/>
      <c r="AJ181" s="117"/>
      <c r="AK181" s="117"/>
      <c r="AL181" s="117"/>
      <c r="AM181" s="117"/>
      <c r="AN181" s="117"/>
      <c r="AO181" s="117"/>
      <c r="AP181" s="117"/>
      <c r="AQ181" s="117"/>
      <c r="AR181" s="300"/>
      <c r="AS181" s="300"/>
      <c r="AT181" s="86"/>
      <c r="AU181" s="162"/>
      <c r="AV181" s="162"/>
      <c r="AW181" s="162"/>
      <c r="AX181" s="162"/>
      <c r="AY181" s="162"/>
      <c r="BB181" s="45"/>
      <c r="BC181" s="45"/>
      <c r="BD181" s="117"/>
      <c r="BE181" s="117"/>
      <c r="BF181" s="99"/>
      <c r="BG181" s="99"/>
      <c r="BH181" s="74"/>
      <c r="BI181" s="117"/>
      <c r="BJ181" s="117"/>
      <c r="BK181" s="117"/>
      <c r="BL181" s="117"/>
      <c r="BM181" s="117"/>
      <c r="BN181" s="117"/>
      <c r="BO181" s="117"/>
      <c r="BP181" s="117"/>
      <c r="BQ181" s="117"/>
      <c r="BR181" s="117"/>
      <c r="BS181" s="117"/>
      <c r="BT181" s="117"/>
      <c r="BU181" s="117"/>
      <c r="BV181" s="117"/>
      <c r="BW181" s="117"/>
      <c r="BX181" s="102"/>
      <c r="BY181" s="102"/>
      <c r="CD181" s="102"/>
      <c r="CE181" s="102"/>
      <c r="CG181" s="86"/>
      <c r="CH181" s="86"/>
      <c r="CI181" s="86"/>
      <c r="CJ181" s="86"/>
      <c r="CL181" s="63"/>
      <c r="CM181" s="54"/>
      <c r="CN181" s="152"/>
      <c r="CO181" s="54"/>
      <c r="CP181" s="54"/>
      <c r="CQ181" s="86"/>
      <c r="CR181" s="63"/>
      <c r="CS181" s="63"/>
      <c r="CT181" s="63"/>
      <c r="CU181" s="63"/>
      <c r="CV181" s="86"/>
      <c r="CW181" s="86"/>
      <c r="CX181" s="86"/>
      <c r="DF181" s="54"/>
      <c r="DG181" s="54"/>
      <c r="DH181" s="63"/>
      <c r="DI181" s="63"/>
      <c r="DJ181" s="63"/>
      <c r="DK181" s="63"/>
      <c r="DL181" s="63"/>
      <c r="DN181" s="86"/>
      <c r="DO181" s="86"/>
      <c r="DP181" s="86"/>
      <c r="DR181" s="63"/>
      <c r="DW181" s="54"/>
      <c r="DX181" s="54"/>
      <c r="DY181" s="63"/>
      <c r="DZ181" s="63"/>
      <c r="EA181" s="63"/>
      <c r="EB181" s="63"/>
      <c r="EC181" s="63"/>
      <c r="EE181" s="86"/>
      <c r="EF181" s="86"/>
      <c r="EG181" s="86"/>
      <c r="EI181" s="63"/>
      <c r="EN181" s="54"/>
      <c r="EQ181" s="86"/>
      <c r="ER181" s="86"/>
      <c r="EX181" s="54"/>
      <c r="FG181" s="86"/>
      <c r="FL181" s="45"/>
      <c r="FT181" s="63"/>
      <c r="FU181" s="54"/>
      <c r="FV181" s="54"/>
      <c r="FW181" s="54"/>
      <c r="FX181" s="86"/>
      <c r="FY181" s="86"/>
      <c r="FZ181" s="102"/>
      <c r="GA181" s="86"/>
      <c r="GB181" s="86"/>
      <c r="GD181" s="63"/>
      <c r="GE181" s="63"/>
      <c r="GF181" s="63"/>
      <c r="GG181" s="63"/>
      <c r="GH181" s="45"/>
      <c r="GI181" s="54"/>
      <c r="GJ181" s="54"/>
      <c r="GL181" s="86"/>
      <c r="GR181" s="86"/>
      <c r="GS181" s="86"/>
      <c r="GU181" s="63"/>
      <c r="GV181" s="63"/>
      <c r="GW181" s="63"/>
      <c r="GX181" s="63"/>
      <c r="GZ181" s="63"/>
      <c r="HA181" s="54"/>
      <c r="HD181" s="86"/>
      <c r="HI181" s="86"/>
      <c r="HJ181" s="86"/>
      <c r="HQ181" s="63"/>
      <c r="HR181" s="54"/>
      <c r="HU181" s="86"/>
      <c r="HZ181" s="86"/>
      <c r="IA181" s="86"/>
      <c r="IF181" s="54"/>
      <c r="IH181" s="89"/>
      <c r="IK181" s="86"/>
    </row>
    <row r="182" spans="1:245">
      <c r="A182" s="86">
        <v>152</v>
      </c>
      <c r="B182" s="117"/>
      <c r="C182" s="117"/>
      <c r="D182" s="117"/>
      <c r="E182" s="117"/>
      <c r="K182" s="117"/>
      <c r="L182" s="45"/>
      <c r="M182" s="45"/>
      <c r="N182" s="45"/>
      <c r="O182" s="45"/>
      <c r="P182" s="45"/>
      <c r="Q182" s="45"/>
      <c r="R182" s="45"/>
      <c r="S182" s="117"/>
      <c r="T182" s="117"/>
      <c r="U182" s="74"/>
      <c r="V182" s="74"/>
      <c r="W182" s="74"/>
      <c r="X182" s="74"/>
      <c r="Y182" s="74"/>
      <c r="Z182" s="74"/>
      <c r="AA182" s="74"/>
      <c r="AB182" s="74"/>
      <c r="AC182" s="117"/>
      <c r="AD182" s="117"/>
      <c r="AE182" s="117"/>
      <c r="AF182" s="117"/>
      <c r="AG182" s="117"/>
      <c r="AH182" s="117"/>
      <c r="AI182" s="117"/>
      <c r="AJ182" s="117"/>
      <c r="AK182" s="117"/>
      <c r="AL182" s="117"/>
      <c r="AM182" s="117"/>
      <c r="AN182" s="117"/>
      <c r="AO182" s="117"/>
      <c r="AP182" s="117"/>
      <c r="AQ182" s="117"/>
      <c r="AR182" s="300"/>
      <c r="AS182" s="300"/>
      <c r="AT182" s="86"/>
      <c r="AU182" s="162"/>
      <c r="AV182" s="162"/>
      <c r="AW182" s="162"/>
      <c r="AX182" s="162"/>
      <c r="AY182" s="162"/>
      <c r="BB182" s="45"/>
      <c r="BC182" s="45"/>
      <c r="BD182" s="117"/>
      <c r="BE182" s="117"/>
      <c r="BF182" s="99"/>
      <c r="BG182" s="99"/>
      <c r="BH182" s="74"/>
      <c r="BI182" s="117"/>
      <c r="BJ182" s="117"/>
      <c r="BK182" s="117"/>
      <c r="BL182" s="117"/>
      <c r="BM182" s="117"/>
      <c r="BN182" s="117"/>
      <c r="BO182" s="117"/>
      <c r="BP182" s="117"/>
      <c r="BQ182" s="117"/>
      <c r="BR182" s="117"/>
      <c r="BS182" s="117"/>
      <c r="BT182" s="117"/>
      <c r="BU182" s="117"/>
      <c r="BV182" s="117"/>
      <c r="BW182" s="117"/>
      <c r="BX182" s="102"/>
      <c r="BY182" s="102"/>
      <c r="CD182" s="102"/>
      <c r="CE182" s="102"/>
      <c r="CG182" s="86"/>
      <c r="CH182" s="86"/>
      <c r="CI182" s="86"/>
      <c r="CJ182" s="86"/>
      <c r="CL182" s="63"/>
      <c r="CM182" s="54"/>
      <c r="CN182" s="152"/>
      <c r="CO182" s="54"/>
      <c r="CP182" s="54"/>
      <c r="CQ182" s="86"/>
      <c r="CR182" s="63"/>
      <c r="CS182" s="63"/>
      <c r="CT182" s="63"/>
      <c r="CU182" s="63"/>
      <c r="CV182" s="86"/>
      <c r="CW182" s="86"/>
      <c r="CX182" s="86"/>
      <c r="DF182" s="54"/>
      <c r="DG182" s="54"/>
      <c r="DH182" s="63"/>
      <c r="DI182" s="63"/>
      <c r="DJ182" s="63"/>
      <c r="DK182" s="63"/>
      <c r="DL182" s="63"/>
      <c r="DN182" s="86"/>
      <c r="DO182" s="86"/>
      <c r="DP182" s="86"/>
      <c r="DR182" s="63"/>
      <c r="DW182" s="54"/>
      <c r="DX182" s="54"/>
      <c r="DY182" s="63"/>
      <c r="DZ182" s="63"/>
      <c r="EA182" s="63"/>
      <c r="EB182" s="63"/>
      <c r="EC182" s="63"/>
      <c r="EE182" s="86"/>
      <c r="EF182" s="86"/>
      <c r="EG182" s="86"/>
      <c r="EI182" s="63"/>
      <c r="EN182" s="54"/>
      <c r="EQ182" s="86"/>
      <c r="ER182" s="86"/>
      <c r="EX182" s="54"/>
      <c r="FG182" s="86"/>
      <c r="FL182" s="45"/>
      <c r="FT182" s="63"/>
      <c r="FU182" s="54"/>
      <c r="FV182" s="54"/>
      <c r="FW182" s="54"/>
      <c r="FX182" s="86"/>
      <c r="FY182" s="86"/>
      <c r="FZ182" s="102"/>
      <c r="GA182" s="86"/>
      <c r="GB182" s="86"/>
      <c r="GD182" s="63"/>
      <c r="GE182" s="63"/>
      <c r="GF182" s="63"/>
      <c r="GG182" s="63"/>
      <c r="GH182" s="45"/>
      <c r="GI182" s="54"/>
      <c r="GJ182" s="54"/>
      <c r="GL182" s="86"/>
      <c r="GR182" s="86"/>
      <c r="GS182" s="86"/>
      <c r="GU182" s="63"/>
      <c r="GV182" s="63"/>
      <c r="GW182" s="63"/>
      <c r="GX182" s="63"/>
      <c r="GZ182" s="63"/>
      <c r="HA182" s="54"/>
      <c r="HD182" s="86"/>
      <c r="HI182" s="86"/>
      <c r="HJ182" s="86"/>
      <c r="HQ182" s="63"/>
      <c r="HR182" s="54"/>
      <c r="HU182" s="86"/>
      <c r="HZ182" s="86"/>
      <c r="IA182" s="86"/>
      <c r="IF182" s="54"/>
      <c r="IH182" s="89"/>
      <c r="IK182" s="86"/>
    </row>
    <row r="183" spans="1:245">
      <c r="A183" s="86">
        <v>153</v>
      </c>
      <c r="B183" s="117"/>
      <c r="C183" s="117"/>
      <c r="D183" s="117"/>
      <c r="E183" s="117"/>
      <c r="K183" s="117"/>
      <c r="L183" s="45"/>
      <c r="M183" s="45"/>
      <c r="N183" s="45"/>
      <c r="O183" s="45"/>
      <c r="P183" s="45"/>
      <c r="Q183" s="45"/>
      <c r="R183" s="45"/>
      <c r="S183" s="117"/>
      <c r="T183" s="117"/>
      <c r="U183" s="74"/>
      <c r="V183" s="74"/>
      <c r="W183" s="74"/>
      <c r="X183" s="74"/>
      <c r="Y183" s="74"/>
      <c r="Z183" s="74"/>
      <c r="AA183" s="74"/>
      <c r="AB183" s="74"/>
      <c r="AC183" s="117"/>
      <c r="AD183" s="117"/>
      <c r="AE183" s="117"/>
      <c r="AF183" s="117"/>
      <c r="AG183" s="117"/>
      <c r="AH183" s="117"/>
      <c r="AI183" s="117"/>
      <c r="AJ183" s="117"/>
      <c r="AK183" s="117"/>
      <c r="AL183" s="117"/>
      <c r="AM183" s="117"/>
      <c r="AN183" s="117"/>
      <c r="AO183" s="117"/>
      <c r="AP183" s="117"/>
      <c r="AQ183" s="117"/>
      <c r="AR183" s="300"/>
      <c r="AS183" s="300"/>
      <c r="AT183" s="86"/>
      <c r="AU183" s="162"/>
      <c r="AV183" s="162"/>
      <c r="AW183" s="162"/>
      <c r="AX183" s="162"/>
      <c r="AY183" s="162"/>
      <c r="BB183" s="45"/>
      <c r="BC183" s="45"/>
      <c r="BD183" s="117"/>
      <c r="BE183" s="117"/>
      <c r="BF183" s="99"/>
      <c r="BG183" s="99"/>
      <c r="BH183" s="74"/>
      <c r="BI183" s="117"/>
      <c r="BJ183" s="117"/>
      <c r="BK183" s="117"/>
      <c r="BL183" s="117"/>
      <c r="BM183" s="117"/>
      <c r="BN183" s="117"/>
      <c r="BO183" s="117"/>
      <c r="BP183" s="117"/>
      <c r="BQ183" s="117"/>
      <c r="BR183" s="117"/>
      <c r="BS183" s="117"/>
      <c r="BT183" s="117"/>
      <c r="BU183" s="117"/>
      <c r="BV183" s="117"/>
      <c r="BW183" s="117"/>
      <c r="BX183" s="102"/>
      <c r="BY183" s="102"/>
      <c r="CD183" s="102"/>
      <c r="CE183" s="102"/>
      <c r="CG183" s="86"/>
      <c r="CH183" s="86"/>
      <c r="CI183" s="86"/>
      <c r="CJ183" s="86"/>
      <c r="CL183" s="63"/>
      <c r="CM183" s="54"/>
      <c r="CN183" s="152"/>
      <c r="CO183" s="54"/>
      <c r="CP183" s="54"/>
      <c r="CQ183" s="86"/>
      <c r="CR183" s="63"/>
      <c r="CS183" s="63"/>
      <c r="CT183" s="63"/>
      <c r="CU183" s="63"/>
      <c r="CV183" s="86"/>
      <c r="CW183" s="86"/>
      <c r="CX183" s="86"/>
      <c r="DF183" s="54"/>
      <c r="DG183" s="54"/>
      <c r="DH183" s="63"/>
      <c r="DI183" s="63"/>
      <c r="DJ183" s="63"/>
      <c r="DK183" s="63"/>
      <c r="DL183" s="63"/>
      <c r="DN183" s="86"/>
      <c r="DO183" s="86"/>
      <c r="DP183" s="86"/>
      <c r="DR183" s="63"/>
      <c r="DW183" s="54"/>
      <c r="DX183" s="54"/>
      <c r="DY183" s="63"/>
      <c r="DZ183" s="63"/>
      <c r="EA183" s="63"/>
      <c r="EB183" s="63"/>
      <c r="EC183" s="63"/>
      <c r="EE183" s="86"/>
      <c r="EF183" s="86"/>
      <c r="EG183" s="86"/>
      <c r="EI183" s="63"/>
      <c r="EN183" s="54"/>
      <c r="EQ183" s="86"/>
      <c r="ER183" s="86"/>
      <c r="EX183" s="54"/>
      <c r="FG183" s="86"/>
      <c r="FL183" s="45"/>
      <c r="FT183" s="63"/>
      <c r="FU183" s="54"/>
      <c r="FV183" s="54"/>
      <c r="FW183" s="54"/>
      <c r="FX183" s="86"/>
      <c r="FY183" s="86"/>
      <c r="FZ183" s="102"/>
      <c r="GA183" s="86"/>
      <c r="GB183" s="86"/>
      <c r="GD183" s="63"/>
      <c r="GE183" s="63"/>
      <c r="GF183" s="63"/>
      <c r="GG183" s="63"/>
      <c r="GH183" s="45"/>
      <c r="GI183" s="54"/>
      <c r="GJ183" s="54"/>
      <c r="GL183" s="86"/>
      <c r="GR183" s="86"/>
      <c r="GS183" s="86"/>
      <c r="GU183" s="63"/>
      <c r="GV183" s="63"/>
      <c r="GW183" s="63"/>
      <c r="GX183" s="63"/>
      <c r="GZ183" s="63"/>
      <c r="HA183" s="54"/>
      <c r="HD183" s="86"/>
      <c r="HI183" s="86"/>
      <c r="HJ183" s="86"/>
      <c r="HQ183" s="63"/>
      <c r="HR183" s="54"/>
      <c r="HU183" s="86"/>
      <c r="HZ183" s="86"/>
      <c r="IA183" s="86"/>
      <c r="IF183" s="54"/>
      <c r="IH183" s="89"/>
      <c r="IK183" s="86"/>
    </row>
    <row r="184" spans="1:245">
      <c r="A184" s="86">
        <v>154</v>
      </c>
      <c r="B184" s="117"/>
      <c r="C184" s="117"/>
      <c r="D184" s="117"/>
      <c r="E184" s="117"/>
      <c r="K184" s="117"/>
      <c r="L184" s="45"/>
      <c r="M184" s="45"/>
      <c r="N184" s="45"/>
      <c r="O184" s="45"/>
      <c r="P184" s="45"/>
      <c r="Q184" s="45"/>
      <c r="R184" s="45"/>
      <c r="S184" s="117"/>
      <c r="T184" s="117"/>
      <c r="U184" s="74"/>
      <c r="V184" s="74"/>
      <c r="W184" s="74"/>
      <c r="X184" s="74"/>
      <c r="Y184" s="74"/>
      <c r="Z184" s="74"/>
      <c r="AA184" s="74"/>
      <c r="AB184" s="74"/>
      <c r="AC184" s="117"/>
      <c r="AD184" s="117"/>
      <c r="AE184" s="117"/>
      <c r="AF184" s="117"/>
      <c r="AG184" s="117"/>
      <c r="AH184" s="117"/>
      <c r="AI184" s="117"/>
      <c r="AJ184" s="117"/>
      <c r="AK184" s="117"/>
      <c r="AL184" s="117"/>
      <c r="AM184" s="117"/>
      <c r="AN184" s="117"/>
      <c r="AO184" s="117"/>
      <c r="AP184" s="117"/>
      <c r="AQ184" s="117"/>
      <c r="AR184" s="300"/>
      <c r="AS184" s="300"/>
      <c r="AT184" s="86"/>
      <c r="AU184" s="162"/>
      <c r="AV184" s="162"/>
      <c r="AW184" s="162"/>
      <c r="AX184" s="162"/>
      <c r="AY184" s="162"/>
      <c r="BB184" s="45"/>
      <c r="BC184" s="45"/>
      <c r="BD184" s="117"/>
      <c r="BE184" s="117"/>
      <c r="BF184" s="99"/>
      <c r="BG184" s="99"/>
      <c r="BH184" s="74"/>
      <c r="BI184" s="117"/>
      <c r="BJ184" s="117"/>
      <c r="BK184" s="117"/>
      <c r="BL184" s="117"/>
      <c r="BM184" s="117"/>
      <c r="BN184" s="117"/>
      <c r="BO184" s="117"/>
      <c r="BP184" s="117"/>
      <c r="BQ184" s="117"/>
      <c r="BR184" s="117"/>
      <c r="BS184" s="117"/>
      <c r="BT184" s="117"/>
      <c r="BU184" s="117"/>
      <c r="BV184" s="117"/>
      <c r="BW184" s="117"/>
      <c r="BX184" s="102"/>
      <c r="BY184" s="102"/>
      <c r="CD184" s="102"/>
      <c r="CE184" s="102"/>
      <c r="CG184" s="86"/>
      <c r="CH184" s="86"/>
      <c r="CI184" s="86"/>
      <c r="CJ184" s="86"/>
      <c r="CL184" s="63"/>
      <c r="CM184" s="54"/>
      <c r="CN184" s="152"/>
      <c r="CO184" s="54"/>
      <c r="CP184" s="54"/>
      <c r="CQ184" s="86"/>
      <c r="CR184" s="63"/>
      <c r="CS184" s="63"/>
      <c r="CT184" s="63"/>
      <c r="CU184" s="63"/>
      <c r="CV184" s="86"/>
      <c r="CW184" s="86"/>
      <c r="CX184" s="86"/>
      <c r="DF184" s="54"/>
      <c r="DG184" s="54"/>
      <c r="DH184" s="63"/>
      <c r="DI184" s="63"/>
      <c r="DJ184" s="63"/>
      <c r="DK184" s="63"/>
      <c r="DL184" s="63"/>
      <c r="DN184" s="86"/>
      <c r="DO184" s="86"/>
      <c r="DP184" s="86"/>
      <c r="DR184" s="63"/>
      <c r="DW184" s="54"/>
      <c r="DX184" s="54"/>
      <c r="DY184" s="63"/>
      <c r="DZ184" s="63"/>
      <c r="EA184" s="63"/>
      <c r="EB184" s="63"/>
      <c r="EC184" s="63"/>
      <c r="EE184" s="86"/>
      <c r="EF184" s="86"/>
      <c r="EG184" s="86"/>
      <c r="EI184" s="63"/>
      <c r="EN184" s="54"/>
      <c r="EQ184" s="86"/>
      <c r="ER184" s="86"/>
      <c r="EX184" s="54"/>
      <c r="FG184" s="86"/>
      <c r="FL184" s="45"/>
      <c r="FT184" s="63"/>
      <c r="FU184" s="54"/>
      <c r="FV184" s="54"/>
      <c r="FW184" s="54"/>
      <c r="FX184" s="86"/>
      <c r="FY184" s="86"/>
      <c r="FZ184" s="102"/>
      <c r="GA184" s="86"/>
      <c r="GB184" s="86"/>
      <c r="GD184" s="63"/>
      <c r="GE184" s="63"/>
      <c r="GF184" s="63"/>
      <c r="GG184" s="63"/>
      <c r="GH184" s="45"/>
      <c r="GI184" s="54"/>
      <c r="GJ184" s="54"/>
      <c r="GL184" s="86"/>
      <c r="GR184" s="86"/>
      <c r="GS184" s="86"/>
      <c r="GU184" s="63"/>
      <c r="GV184" s="63"/>
      <c r="GW184" s="63"/>
      <c r="GX184" s="63"/>
      <c r="GZ184" s="63"/>
      <c r="HA184" s="54"/>
      <c r="HD184" s="86"/>
      <c r="HI184" s="86"/>
      <c r="HJ184" s="86"/>
      <c r="HQ184" s="63"/>
      <c r="HR184" s="54"/>
      <c r="HU184" s="86"/>
      <c r="HZ184" s="86"/>
      <c r="IA184" s="86"/>
      <c r="IF184" s="54"/>
      <c r="IH184" s="89"/>
      <c r="IK184" s="86"/>
    </row>
    <row r="185" spans="1:245">
      <c r="A185" s="86">
        <v>155</v>
      </c>
      <c r="B185" s="117"/>
      <c r="C185" s="117"/>
      <c r="D185" s="117"/>
      <c r="E185" s="117"/>
      <c r="K185" s="117"/>
      <c r="L185" s="45"/>
      <c r="M185" s="45"/>
      <c r="N185" s="45"/>
      <c r="O185" s="45"/>
      <c r="P185" s="45"/>
      <c r="Q185" s="45"/>
      <c r="R185" s="45"/>
      <c r="S185" s="117"/>
      <c r="T185" s="117"/>
      <c r="U185" s="74"/>
      <c r="V185" s="74"/>
      <c r="W185" s="74"/>
      <c r="X185" s="74"/>
      <c r="Y185" s="74"/>
      <c r="Z185" s="74"/>
      <c r="AA185" s="74"/>
      <c r="AB185" s="74"/>
      <c r="AC185" s="117"/>
      <c r="AD185" s="117"/>
      <c r="AE185" s="117"/>
      <c r="AF185" s="117"/>
      <c r="AG185" s="117"/>
      <c r="AH185" s="117"/>
      <c r="AI185" s="117"/>
      <c r="AJ185" s="117"/>
      <c r="AK185" s="117"/>
      <c r="AL185" s="117"/>
      <c r="AM185" s="117"/>
      <c r="AN185" s="117"/>
      <c r="AO185" s="117"/>
      <c r="AP185" s="117"/>
      <c r="AQ185" s="117"/>
      <c r="AR185" s="300"/>
      <c r="AS185" s="300"/>
      <c r="AT185" s="86"/>
      <c r="AU185" s="162"/>
      <c r="AV185" s="162"/>
      <c r="AW185" s="162"/>
      <c r="AX185" s="162"/>
      <c r="AY185" s="162"/>
      <c r="BB185" s="45"/>
      <c r="BC185" s="45"/>
      <c r="BD185" s="117"/>
      <c r="BE185" s="117"/>
      <c r="BF185" s="99"/>
      <c r="BG185" s="99"/>
      <c r="BH185" s="74"/>
      <c r="BI185" s="117"/>
      <c r="BJ185" s="117"/>
      <c r="BK185" s="117"/>
      <c r="BL185" s="117"/>
      <c r="BM185" s="117"/>
      <c r="BN185" s="117"/>
      <c r="BO185" s="117"/>
      <c r="BP185" s="117"/>
      <c r="BQ185" s="117"/>
      <c r="BR185" s="117"/>
      <c r="BS185" s="117"/>
      <c r="BT185" s="117"/>
      <c r="BU185" s="117"/>
      <c r="BV185" s="117"/>
      <c r="BW185" s="117"/>
      <c r="BX185" s="102"/>
      <c r="BY185" s="102"/>
      <c r="CD185" s="102"/>
      <c r="CE185" s="102"/>
      <c r="CG185" s="86"/>
      <c r="CH185" s="86"/>
      <c r="CI185" s="86"/>
      <c r="CJ185" s="86"/>
      <c r="CL185" s="63"/>
      <c r="CM185" s="54"/>
      <c r="CN185" s="152"/>
      <c r="CO185" s="54"/>
      <c r="CP185" s="54"/>
      <c r="CQ185" s="86"/>
      <c r="CR185" s="63"/>
      <c r="CS185" s="63"/>
      <c r="CT185" s="63"/>
      <c r="CU185" s="63"/>
      <c r="CV185" s="86"/>
      <c r="CW185" s="86"/>
      <c r="CX185" s="86"/>
      <c r="DF185" s="54"/>
      <c r="DG185" s="54"/>
      <c r="DH185" s="63"/>
      <c r="DI185" s="63"/>
      <c r="DJ185" s="63"/>
      <c r="DK185" s="63"/>
      <c r="DL185" s="63"/>
      <c r="DN185" s="86"/>
      <c r="DO185" s="86"/>
      <c r="DP185" s="86"/>
      <c r="DR185" s="63"/>
      <c r="DW185" s="54"/>
      <c r="DX185" s="54"/>
      <c r="DY185" s="63"/>
      <c r="DZ185" s="63"/>
      <c r="EA185" s="63"/>
      <c r="EB185" s="63"/>
      <c r="EC185" s="63"/>
      <c r="EE185" s="86"/>
      <c r="EF185" s="86"/>
      <c r="EG185" s="86"/>
      <c r="EI185" s="63"/>
      <c r="EN185" s="54"/>
      <c r="EQ185" s="86"/>
      <c r="ER185" s="86"/>
      <c r="EX185" s="54"/>
      <c r="FG185" s="86"/>
      <c r="FL185" s="45"/>
      <c r="FT185" s="63"/>
      <c r="FU185" s="54"/>
      <c r="FV185" s="54"/>
      <c r="FW185" s="54"/>
      <c r="FX185" s="86"/>
      <c r="FY185" s="86"/>
      <c r="FZ185" s="102"/>
      <c r="GA185" s="86"/>
      <c r="GB185" s="86"/>
      <c r="GD185" s="63"/>
      <c r="GE185" s="63"/>
      <c r="GF185" s="63"/>
      <c r="GG185" s="63"/>
      <c r="GH185" s="45"/>
      <c r="GI185" s="54"/>
      <c r="GJ185" s="54"/>
      <c r="GL185" s="86"/>
      <c r="GR185" s="86"/>
      <c r="GS185" s="86"/>
      <c r="GU185" s="63"/>
      <c r="GV185" s="63"/>
      <c r="GW185" s="63"/>
      <c r="GX185" s="63"/>
      <c r="GZ185" s="63"/>
      <c r="HA185" s="54"/>
      <c r="HD185" s="86"/>
      <c r="HI185" s="86"/>
      <c r="HJ185" s="86"/>
      <c r="HQ185" s="63"/>
      <c r="HR185" s="54"/>
      <c r="HU185" s="86"/>
      <c r="HZ185" s="86"/>
      <c r="IA185" s="86"/>
      <c r="IF185" s="54"/>
      <c r="IK185" s="86"/>
    </row>
    <row r="186" spans="1:245">
      <c r="A186" s="86">
        <v>156</v>
      </c>
      <c r="B186" s="117"/>
      <c r="C186" s="117"/>
      <c r="D186" s="117"/>
      <c r="E186" s="117"/>
      <c r="K186" s="117"/>
      <c r="L186" s="45"/>
      <c r="M186" s="45"/>
      <c r="N186" s="45"/>
      <c r="O186" s="45"/>
      <c r="P186" s="45"/>
      <c r="Q186" s="45"/>
      <c r="R186" s="45"/>
      <c r="S186" s="117"/>
      <c r="T186" s="117"/>
      <c r="U186" s="74"/>
      <c r="V186" s="74"/>
      <c r="W186" s="74"/>
      <c r="X186" s="74"/>
      <c r="Y186" s="74"/>
      <c r="Z186" s="74"/>
      <c r="AA186" s="74"/>
      <c r="AB186" s="74"/>
      <c r="AC186" s="117"/>
      <c r="AD186" s="117"/>
      <c r="AE186" s="117"/>
      <c r="AF186" s="117"/>
      <c r="AG186" s="117"/>
      <c r="AH186" s="117"/>
      <c r="AI186" s="117"/>
      <c r="AJ186" s="117"/>
      <c r="AK186" s="117"/>
      <c r="AL186" s="117"/>
      <c r="AM186" s="117"/>
      <c r="AN186" s="117"/>
      <c r="AO186" s="117"/>
      <c r="AP186" s="117"/>
      <c r="AQ186" s="117"/>
      <c r="AR186" s="300"/>
      <c r="AS186" s="300"/>
      <c r="AT186" s="86"/>
      <c r="AU186" s="162"/>
      <c r="AV186" s="162"/>
      <c r="AW186" s="162"/>
      <c r="AX186" s="162"/>
      <c r="AY186" s="162"/>
      <c r="BB186" s="45"/>
      <c r="BC186" s="45"/>
      <c r="BD186" s="117"/>
      <c r="BE186" s="117"/>
      <c r="BF186" s="99"/>
      <c r="BG186" s="99"/>
      <c r="BH186" s="74"/>
      <c r="BI186" s="117"/>
      <c r="BJ186" s="117"/>
      <c r="BK186" s="117"/>
      <c r="BL186" s="117"/>
      <c r="BM186" s="117"/>
      <c r="BN186" s="117"/>
      <c r="BO186" s="117"/>
      <c r="BP186" s="117"/>
      <c r="BQ186" s="117"/>
      <c r="BR186" s="117"/>
      <c r="BS186" s="117"/>
      <c r="BT186" s="117"/>
      <c r="BU186" s="117"/>
      <c r="BV186" s="117"/>
      <c r="BW186" s="117"/>
      <c r="BX186" s="102"/>
      <c r="BY186" s="102"/>
      <c r="CD186" s="102"/>
      <c r="CE186" s="102"/>
      <c r="CG186" s="86"/>
      <c r="CH186" s="86"/>
      <c r="CI186" s="86"/>
      <c r="CJ186" s="86"/>
      <c r="CL186" s="63"/>
      <c r="CM186" s="54"/>
      <c r="CN186" s="152"/>
      <c r="CO186" s="54"/>
      <c r="CP186" s="54"/>
      <c r="CQ186" s="86"/>
      <c r="CR186" s="63"/>
      <c r="CS186" s="63"/>
      <c r="CT186" s="63"/>
      <c r="CU186" s="63"/>
      <c r="CV186" s="86"/>
      <c r="CW186" s="86"/>
      <c r="CX186" s="86"/>
      <c r="DF186" s="54"/>
      <c r="DG186" s="54"/>
      <c r="DH186" s="63"/>
      <c r="DI186" s="63"/>
      <c r="DJ186" s="63"/>
      <c r="DK186" s="63"/>
      <c r="DL186" s="63"/>
      <c r="DN186" s="86"/>
      <c r="DO186" s="86"/>
      <c r="DP186" s="86"/>
      <c r="DR186" s="63"/>
      <c r="DW186" s="54"/>
      <c r="DX186" s="54"/>
      <c r="DY186" s="63"/>
      <c r="DZ186" s="63"/>
      <c r="EA186" s="63"/>
      <c r="EB186" s="63"/>
      <c r="EC186" s="63"/>
      <c r="EE186" s="86"/>
      <c r="EF186" s="86"/>
      <c r="EG186" s="86"/>
      <c r="EI186" s="63"/>
      <c r="EN186" s="54"/>
      <c r="EQ186" s="86"/>
      <c r="ER186" s="86"/>
      <c r="EX186" s="54"/>
      <c r="FG186" s="86"/>
      <c r="FL186" s="45"/>
      <c r="FT186" s="63"/>
      <c r="FU186" s="54"/>
      <c r="FV186" s="54"/>
      <c r="FW186" s="54"/>
      <c r="FX186" s="86"/>
      <c r="FY186" s="86"/>
      <c r="FZ186" s="102"/>
      <c r="GA186" s="86"/>
      <c r="GB186" s="86"/>
      <c r="GD186" s="63"/>
      <c r="GE186" s="63"/>
      <c r="GF186" s="63"/>
      <c r="GG186" s="63"/>
      <c r="GH186" s="45"/>
      <c r="GI186" s="54"/>
      <c r="GJ186" s="54"/>
      <c r="GL186" s="86"/>
      <c r="GR186" s="86"/>
      <c r="GS186" s="86"/>
      <c r="GU186" s="63"/>
      <c r="GV186" s="63"/>
      <c r="GW186" s="63"/>
      <c r="GX186" s="63"/>
      <c r="GZ186" s="63"/>
      <c r="HA186" s="54"/>
      <c r="HD186" s="86"/>
      <c r="HI186" s="86"/>
      <c r="HJ186" s="86"/>
      <c r="HQ186" s="63"/>
      <c r="HR186" s="54"/>
      <c r="HU186" s="86"/>
      <c r="HZ186" s="86"/>
      <c r="IA186" s="86"/>
      <c r="IF186" s="54"/>
      <c r="IK186" s="86"/>
    </row>
    <row r="187" spans="1:245">
      <c r="A187" s="86">
        <v>157</v>
      </c>
      <c r="B187" s="117"/>
      <c r="C187" s="117"/>
      <c r="D187" s="117"/>
      <c r="E187" s="117"/>
      <c r="K187" s="117"/>
      <c r="L187" s="45"/>
      <c r="M187" s="45"/>
      <c r="N187" s="45"/>
      <c r="O187" s="45"/>
      <c r="P187" s="45"/>
      <c r="Q187" s="45"/>
      <c r="R187" s="45"/>
      <c r="S187" s="117"/>
      <c r="T187" s="117"/>
      <c r="U187" s="74"/>
      <c r="V187" s="74"/>
      <c r="W187" s="74"/>
      <c r="X187" s="74"/>
      <c r="Y187" s="74"/>
      <c r="Z187" s="74"/>
      <c r="AA187" s="74"/>
      <c r="AB187" s="74"/>
      <c r="AC187" s="117"/>
      <c r="AD187" s="117"/>
      <c r="AE187" s="117"/>
      <c r="AF187" s="117"/>
      <c r="AG187" s="117"/>
      <c r="AH187" s="117"/>
      <c r="AI187" s="117"/>
      <c r="AJ187" s="117"/>
      <c r="AK187" s="117"/>
      <c r="AL187" s="117"/>
      <c r="AM187" s="117"/>
      <c r="AN187" s="117"/>
      <c r="AO187" s="117"/>
      <c r="AP187" s="117"/>
      <c r="AQ187" s="117"/>
      <c r="AR187" s="300"/>
      <c r="AS187" s="300"/>
      <c r="AT187" s="86"/>
      <c r="AU187" s="162"/>
      <c r="AV187" s="162"/>
      <c r="AW187" s="162"/>
      <c r="AX187" s="162"/>
      <c r="AY187" s="162"/>
      <c r="BB187" s="45"/>
      <c r="BC187" s="45"/>
      <c r="BD187" s="117"/>
      <c r="BE187" s="117"/>
      <c r="BF187" s="99"/>
      <c r="BG187" s="99"/>
      <c r="BH187" s="74"/>
      <c r="BI187" s="117"/>
      <c r="BJ187" s="117"/>
      <c r="BK187" s="117"/>
      <c r="BL187" s="117"/>
      <c r="BM187" s="117"/>
      <c r="BN187" s="117"/>
      <c r="BO187" s="117"/>
      <c r="BP187" s="117"/>
      <c r="BQ187" s="117"/>
      <c r="BR187" s="117"/>
      <c r="BS187" s="117"/>
      <c r="BT187" s="117"/>
      <c r="BU187" s="117"/>
      <c r="BV187" s="117"/>
      <c r="BW187" s="117"/>
      <c r="BX187" s="102"/>
      <c r="BY187" s="102"/>
      <c r="CD187" s="102"/>
      <c r="CE187" s="102"/>
      <c r="CG187" s="86"/>
      <c r="CH187" s="86"/>
      <c r="CI187" s="86"/>
      <c r="CJ187" s="86"/>
      <c r="CL187" s="63"/>
      <c r="CM187" s="54"/>
      <c r="CN187" s="152"/>
      <c r="CO187" s="54"/>
      <c r="CP187" s="54"/>
      <c r="CQ187" s="86"/>
      <c r="CR187" s="63"/>
      <c r="CS187" s="63"/>
      <c r="CT187" s="63"/>
      <c r="CU187" s="63"/>
      <c r="CV187" s="86"/>
      <c r="CW187" s="86"/>
      <c r="CX187" s="86"/>
      <c r="DF187" s="54"/>
      <c r="DG187" s="54"/>
      <c r="DH187" s="63"/>
      <c r="DI187" s="63"/>
      <c r="DJ187" s="63"/>
      <c r="DK187" s="63"/>
      <c r="DL187" s="63"/>
      <c r="DN187" s="86"/>
      <c r="DO187" s="86"/>
      <c r="DP187" s="86"/>
      <c r="DR187" s="63"/>
      <c r="DW187" s="54"/>
      <c r="DX187" s="54"/>
      <c r="DY187" s="63"/>
      <c r="DZ187" s="63"/>
      <c r="EA187" s="63"/>
      <c r="EB187" s="63"/>
      <c r="EC187" s="63"/>
      <c r="EE187" s="86"/>
      <c r="EF187" s="86"/>
      <c r="EG187" s="86"/>
      <c r="EI187" s="63"/>
      <c r="EN187" s="54"/>
      <c r="EQ187" s="86"/>
      <c r="ER187" s="86"/>
      <c r="EX187" s="54"/>
      <c r="FG187" s="86"/>
      <c r="FL187" s="45"/>
      <c r="FT187" s="63"/>
      <c r="FU187" s="54"/>
      <c r="FV187" s="54"/>
      <c r="FW187" s="54"/>
      <c r="FX187" s="86"/>
      <c r="FY187" s="86"/>
      <c r="FZ187" s="102"/>
      <c r="GA187" s="86"/>
      <c r="GB187" s="86"/>
      <c r="GD187" s="63"/>
      <c r="GE187" s="63"/>
      <c r="GF187" s="63"/>
      <c r="GG187" s="63"/>
      <c r="GH187" s="45"/>
      <c r="GI187" s="54"/>
      <c r="GJ187" s="54"/>
      <c r="GL187" s="86"/>
      <c r="GR187" s="86"/>
      <c r="GS187" s="86"/>
      <c r="GU187" s="63"/>
      <c r="GV187" s="63"/>
      <c r="GW187" s="63"/>
      <c r="GX187" s="63"/>
      <c r="GZ187" s="63"/>
      <c r="HA187" s="54"/>
      <c r="HD187" s="86"/>
      <c r="HI187" s="86"/>
      <c r="HJ187" s="86"/>
      <c r="HQ187" s="63"/>
      <c r="HR187" s="54"/>
      <c r="HU187" s="86"/>
      <c r="HZ187" s="86"/>
      <c r="IA187" s="86"/>
      <c r="IF187" s="54"/>
      <c r="IK187" s="86"/>
    </row>
    <row r="188" spans="1:245">
      <c r="A188" s="86">
        <v>158</v>
      </c>
      <c r="B188" s="117"/>
      <c r="C188" s="117"/>
      <c r="D188" s="117"/>
      <c r="E188" s="117"/>
      <c r="K188" s="117"/>
      <c r="L188" s="45"/>
      <c r="M188" s="45"/>
      <c r="N188" s="45"/>
      <c r="O188" s="45"/>
      <c r="P188" s="45"/>
      <c r="Q188" s="45"/>
      <c r="R188" s="45"/>
      <c r="S188" s="117"/>
      <c r="T188" s="117"/>
      <c r="U188" s="74"/>
      <c r="V188" s="74"/>
      <c r="W188" s="74"/>
      <c r="X188" s="74"/>
      <c r="Y188" s="74"/>
      <c r="Z188" s="74"/>
      <c r="AA188" s="74"/>
      <c r="AB188" s="74"/>
      <c r="AC188" s="117"/>
      <c r="AD188" s="117"/>
      <c r="AE188" s="117"/>
      <c r="AF188" s="117"/>
      <c r="AG188" s="117"/>
      <c r="AH188" s="117"/>
      <c r="AI188" s="117"/>
      <c r="AJ188" s="117"/>
      <c r="AK188" s="117"/>
      <c r="AL188" s="117"/>
      <c r="AM188" s="117"/>
      <c r="AN188" s="117"/>
      <c r="AO188" s="117"/>
      <c r="AP188" s="117"/>
      <c r="AQ188" s="117"/>
      <c r="AR188" s="300"/>
      <c r="AS188" s="300"/>
      <c r="AT188" s="86"/>
      <c r="AU188" s="162"/>
      <c r="AV188" s="162"/>
      <c r="AW188" s="162"/>
      <c r="AX188" s="162"/>
      <c r="AY188" s="162"/>
      <c r="BB188" s="45"/>
      <c r="BC188" s="45"/>
      <c r="BD188" s="117"/>
      <c r="BE188" s="117"/>
      <c r="BF188" s="99"/>
      <c r="BG188" s="99"/>
      <c r="BH188" s="74"/>
      <c r="BI188" s="117"/>
      <c r="BJ188" s="117"/>
      <c r="BK188" s="117"/>
      <c r="BL188" s="117"/>
      <c r="BM188" s="117"/>
      <c r="BN188" s="117"/>
      <c r="BO188" s="117"/>
      <c r="BP188" s="117"/>
      <c r="BQ188" s="117"/>
      <c r="BR188" s="117"/>
      <c r="BS188" s="117"/>
      <c r="BT188" s="117"/>
      <c r="BU188" s="117"/>
      <c r="BV188" s="117"/>
      <c r="BW188" s="117"/>
      <c r="BX188" s="102"/>
      <c r="BY188" s="102"/>
      <c r="CD188" s="102"/>
      <c r="CE188" s="102"/>
      <c r="CG188" s="86"/>
      <c r="CH188" s="86"/>
      <c r="CI188" s="86"/>
      <c r="CJ188" s="86"/>
      <c r="CL188" s="63"/>
      <c r="CM188" s="54"/>
      <c r="CN188" s="152"/>
      <c r="CO188" s="54"/>
      <c r="CP188" s="54"/>
      <c r="CQ188" s="86"/>
      <c r="CR188" s="63"/>
      <c r="CS188" s="63"/>
      <c r="CT188" s="63"/>
      <c r="CU188" s="63"/>
      <c r="CV188" s="86"/>
      <c r="CW188" s="86"/>
      <c r="CX188" s="86"/>
      <c r="DF188" s="54"/>
      <c r="DG188" s="54"/>
      <c r="DH188" s="63"/>
      <c r="DI188" s="63"/>
      <c r="DJ188" s="63"/>
      <c r="DK188" s="63"/>
      <c r="DL188" s="63"/>
      <c r="DN188" s="86"/>
      <c r="DO188" s="86"/>
      <c r="DP188" s="86"/>
      <c r="DR188" s="63"/>
      <c r="DW188" s="54"/>
      <c r="DX188" s="54"/>
      <c r="DY188" s="63"/>
      <c r="DZ188" s="63"/>
      <c r="EA188" s="63"/>
      <c r="EB188" s="63"/>
      <c r="EC188" s="63"/>
      <c r="EE188" s="86"/>
      <c r="EF188" s="86"/>
      <c r="EG188" s="86"/>
      <c r="EI188" s="63"/>
      <c r="EN188" s="54"/>
      <c r="EQ188" s="86"/>
      <c r="ER188" s="86"/>
      <c r="EX188" s="54"/>
      <c r="FG188" s="86"/>
      <c r="FL188" s="45"/>
      <c r="FT188" s="63"/>
      <c r="FU188" s="54"/>
      <c r="FV188" s="54"/>
      <c r="FW188" s="54"/>
      <c r="FX188" s="86"/>
      <c r="FY188" s="86"/>
      <c r="FZ188" s="102"/>
      <c r="GA188" s="86"/>
      <c r="GB188" s="86"/>
      <c r="GD188" s="63"/>
      <c r="GE188" s="63"/>
      <c r="GF188" s="63"/>
      <c r="GG188" s="63"/>
      <c r="GH188" s="45"/>
      <c r="GI188" s="54"/>
      <c r="GJ188" s="54"/>
      <c r="GL188" s="86"/>
      <c r="GR188" s="86"/>
      <c r="GS188" s="86"/>
      <c r="GU188" s="63"/>
      <c r="GV188" s="63"/>
      <c r="GW188" s="63"/>
      <c r="GX188" s="63"/>
      <c r="GZ188" s="63"/>
      <c r="HA188" s="54"/>
      <c r="HD188" s="86"/>
      <c r="HI188" s="86"/>
      <c r="HJ188" s="86"/>
      <c r="HQ188" s="63"/>
      <c r="HR188" s="54"/>
      <c r="HU188" s="86"/>
      <c r="HZ188" s="86"/>
      <c r="IA188" s="86"/>
      <c r="IF188" s="54"/>
      <c r="IK188" s="86"/>
    </row>
    <row r="189" spans="1:245">
      <c r="A189" s="86">
        <v>159</v>
      </c>
      <c r="B189" s="117"/>
      <c r="C189" s="117"/>
      <c r="D189" s="117"/>
      <c r="E189" s="117"/>
      <c r="K189" s="117"/>
      <c r="L189" s="45"/>
      <c r="M189" s="45"/>
      <c r="N189" s="45"/>
      <c r="O189" s="45"/>
      <c r="P189" s="45"/>
      <c r="Q189" s="45"/>
      <c r="R189" s="45"/>
      <c r="S189" s="117"/>
      <c r="T189" s="117"/>
      <c r="U189" s="74"/>
      <c r="V189" s="74"/>
      <c r="W189" s="74"/>
      <c r="X189" s="74"/>
      <c r="Y189" s="74"/>
      <c r="Z189" s="74"/>
      <c r="AA189" s="74"/>
      <c r="AB189" s="74"/>
      <c r="AC189" s="117"/>
      <c r="AD189" s="117"/>
      <c r="AE189" s="117"/>
      <c r="AF189" s="117"/>
      <c r="AG189" s="117"/>
      <c r="AH189" s="117"/>
      <c r="AI189" s="117"/>
      <c r="AJ189" s="117"/>
      <c r="AK189" s="117"/>
      <c r="AL189" s="117"/>
      <c r="AM189" s="117"/>
      <c r="AN189" s="117"/>
      <c r="AO189" s="117"/>
      <c r="AP189" s="117"/>
      <c r="AQ189" s="117"/>
      <c r="AR189" s="300"/>
      <c r="AS189" s="300"/>
      <c r="AT189" s="86"/>
      <c r="AU189" s="162"/>
      <c r="AV189" s="162"/>
      <c r="AW189" s="162"/>
      <c r="AX189" s="162"/>
      <c r="AY189" s="162"/>
      <c r="BB189" s="45"/>
      <c r="BC189" s="45"/>
      <c r="BD189" s="117"/>
      <c r="BE189" s="117"/>
      <c r="BF189" s="99"/>
      <c r="BG189" s="99"/>
      <c r="BH189" s="74"/>
      <c r="BI189" s="117"/>
      <c r="BJ189" s="117"/>
      <c r="BK189" s="117"/>
      <c r="BL189" s="117"/>
      <c r="BM189" s="117"/>
      <c r="BN189" s="117"/>
      <c r="BO189" s="117"/>
      <c r="BP189" s="117"/>
      <c r="BQ189" s="117"/>
      <c r="BR189" s="117"/>
      <c r="BS189" s="117"/>
      <c r="BT189" s="117"/>
      <c r="BU189" s="117"/>
      <c r="BV189" s="117"/>
      <c r="BW189" s="117"/>
      <c r="BX189" s="102"/>
      <c r="BY189" s="102"/>
      <c r="CD189" s="102"/>
      <c r="CE189" s="102"/>
      <c r="CG189" s="86"/>
      <c r="CH189" s="86"/>
      <c r="CI189" s="86"/>
      <c r="CJ189" s="86"/>
      <c r="CL189" s="63"/>
      <c r="CM189" s="54"/>
      <c r="CN189" s="152"/>
      <c r="CO189" s="54"/>
      <c r="CP189" s="54"/>
      <c r="CQ189" s="86"/>
      <c r="CR189" s="63"/>
      <c r="CS189" s="63"/>
      <c r="CT189" s="63"/>
      <c r="CU189" s="63"/>
      <c r="CV189" s="86"/>
      <c r="CW189" s="86"/>
      <c r="CX189" s="86"/>
      <c r="DF189" s="54"/>
      <c r="DG189" s="54"/>
      <c r="DH189" s="63"/>
      <c r="DI189" s="63"/>
      <c r="DJ189" s="63"/>
      <c r="DK189" s="63"/>
      <c r="DL189" s="63"/>
      <c r="DN189" s="86"/>
      <c r="DO189" s="86"/>
      <c r="DP189" s="86"/>
      <c r="DR189" s="63"/>
      <c r="DW189" s="54"/>
      <c r="DX189" s="54"/>
      <c r="DY189" s="63"/>
      <c r="DZ189" s="63"/>
      <c r="EA189" s="63"/>
      <c r="EB189" s="63"/>
      <c r="EC189" s="63"/>
      <c r="EE189" s="86"/>
      <c r="EF189" s="86"/>
      <c r="EG189" s="86"/>
      <c r="EI189" s="63"/>
      <c r="EN189" s="54"/>
      <c r="EQ189" s="86"/>
      <c r="ER189" s="86"/>
      <c r="EX189" s="54"/>
      <c r="FG189" s="86"/>
      <c r="FL189" s="45"/>
      <c r="FT189" s="63"/>
      <c r="FU189" s="54"/>
      <c r="FV189" s="54"/>
      <c r="FW189" s="54"/>
      <c r="FX189" s="86"/>
      <c r="FY189" s="86"/>
      <c r="FZ189" s="102"/>
      <c r="GA189" s="86"/>
      <c r="GB189" s="86"/>
      <c r="GD189" s="63"/>
      <c r="GE189" s="63"/>
      <c r="GF189" s="63"/>
      <c r="GG189" s="63"/>
      <c r="GH189" s="45"/>
      <c r="GI189" s="54"/>
      <c r="GJ189" s="54"/>
      <c r="GL189" s="86"/>
      <c r="GR189" s="86"/>
      <c r="GS189" s="86"/>
      <c r="GU189" s="63"/>
      <c r="GV189" s="63"/>
      <c r="GW189" s="63"/>
      <c r="GX189" s="63"/>
      <c r="GZ189" s="63"/>
      <c r="HA189" s="54"/>
      <c r="HD189" s="86"/>
      <c r="HI189" s="86"/>
      <c r="HJ189" s="86"/>
      <c r="HQ189" s="63"/>
      <c r="HR189" s="54"/>
      <c r="HU189" s="86"/>
      <c r="HZ189" s="86"/>
      <c r="IA189" s="86"/>
      <c r="IF189" s="54"/>
      <c r="IK189" s="86"/>
    </row>
    <row r="190" spans="1:245">
      <c r="A190" s="86">
        <v>160</v>
      </c>
      <c r="B190" s="117"/>
      <c r="C190" s="117"/>
      <c r="D190" s="117"/>
      <c r="E190" s="117"/>
      <c r="K190" s="117"/>
      <c r="L190" s="45"/>
      <c r="M190" s="45"/>
      <c r="N190" s="45"/>
      <c r="O190" s="45"/>
      <c r="P190" s="45"/>
      <c r="Q190" s="45"/>
      <c r="R190" s="45"/>
      <c r="S190" s="117"/>
      <c r="T190" s="117"/>
      <c r="U190" s="74"/>
      <c r="V190" s="74"/>
      <c r="W190" s="74"/>
      <c r="X190" s="74"/>
      <c r="Y190" s="74"/>
      <c r="Z190" s="74"/>
      <c r="AA190" s="74"/>
      <c r="AB190" s="74"/>
      <c r="AC190" s="117"/>
      <c r="AD190" s="117"/>
      <c r="AE190" s="117"/>
      <c r="AF190" s="117"/>
      <c r="AG190" s="117"/>
      <c r="AH190" s="117"/>
      <c r="AI190" s="117"/>
      <c r="AJ190" s="117"/>
      <c r="AK190" s="117"/>
      <c r="AL190" s="117"/>
      <c r="AM190" s="117"/>
      <c r="AN190" s="117"/>
      <c r="AO190" s="117"/>
      <c r="AP190" s="117"/>
      <c r="AQ190" s="117"/>
      <c r="AR190" s="300"/>
      <c r="AS190" s="300"/>
      <c r="AT190" s="86"/>
      <c r="AU190" s="162"/>
      <c r="AV190" s="162"/>
      <c r="AW190" s="162"/>
      <c r="AX190" s="162"/>
      <c r="AY190" s="162"/>
      <c r="BB190" s="45"/>
      <c r="BC190" s="45"/>
      <c r="BD190" s="117"/>
      <c r="BE190" s="117"/>
      <c r="BF190" s="99"/>
      <c r="BG190" s="99"/>
      <c r="BH190" s="74"/>
      <c r="BI190" s="117"/>
      <c r="BJ190" s="117"/>
      <c r="BK190" s="117"/>
      <c r="BL190" s="117"/>
      <c r="BM190" s="117"/>
      <c r="BN190" s="117"/>
      <c r="BO190" s="117"/>
      <c r="BP190" s="117"/>
      <c r="BQ190" s="117"/>
      <c r="BR190" s="117"/>
      <c r="BS190" s="117"/>
      <c r="BT190" s="117"/>
      <c r="BU190" s="117"/>
      <c r="BV190" s="117"/>
      <c r="BW190" s="117"/>
      <c r="BX190" s="102"/>
      <c r="BY190" s="102"/>
      <c r="CD190" s="102"/>
      <c r="CE190" s="102"/>
      <c r="CG190" s="86"/>
      <c r="CH190" s="86"/>
      <c r="CI190" s="86"/>
      <c r="CJ190" s="86"/>
      <c r="CL190" s="63"/>
      <c r="CM190" s="54"/>
      <c r="CN190" s="152"/>
      <c r="CO190" s="54"/>
      <c r="CP190" s="54"/>
      <c r="CQ190" s="86"/>
      <c r="CR190" s="63"/>
      <c r="CS190" s="63"/>
      <c r="CT190" s="63"/>
      <c r="CU190" s="63"/>
      <c r="CV190" s="86"/>
      <c r="CW190" s="86"/>
      <c r="CX190" s="86"/>
      <c r="DF190" s="54"/>
      <c r="DG190" s="54"/>
      <c r="DH190" s="63"/>
      <c r="DI190" s="63"/>
      <c r="DJ190" s="63"/>
      <c r="DK190" s="63"/>
      <c r="DL190" s="63"/>
      <c r="DN190" s="86"/>
      <c r="DO190" s="86"/>
      <c r="DP190" s="86"/>
      <c r="DR190" s="63"/>
      <c r="DW190" s="54"/>
      <c r="DX190" s="54"/>
      <c r="DY190" s="63"/>
      <c r="DZ190" s="63"/>
      <c r="EA190" s="63"/>
      <c r="EB190" s="63"/>
      <c r="EC190" s="63"/>
      <c r="EE190" s="86"/>
      <c r="EF190" s="86"/>
      <c r="EG190" s="86"/>
      <c r="EI190" s="63"/>
      <c r="EN190" s="54"/>
      <c r="EQ190" s="86"/>
      <c r="ER190" s="86"/>
      <c r="EX190" s="54"/>
      <c r="FG190" s="86"/>
      <c r="FL190" s="45"/>
      <c r="FT190" s="63"/>
      <c r="FU190" s="54"/>
      <c r="FV190" s="54"/>
      <c r="FW190" s="54"/>
      <c r="FX190" s="86"/>
      <c r="FY190" s="86"/>
      <c r="FZ190" s="102"/>
      <c r="GA190" s="86"/>
      <c r="GB190" s="86"/>
      <c r="GD190" s="63"/>
      <c r="GE190" s="63"/>
      <c r="GF190" s="63"/>
      <c r="GG190" s="63"/>
      <c r="GH190" s="45"/>
      <c r="GI190" s="54"/>
      <c r="GJ190" s="54"/>
      <c r="GL190" s="86"/>
      <c r="GR190" s="86"/>
      <c r="GS190" s="86"/>
      <c r="GU190" s="63"/>
      <c r="GV190" s="63"/>
      <c r="GW190" s="63"/>
      <c r="GX190" s="63"/>
      <c r="GZ190" s="63"/>
      <c r="HA190" s="54"/>
      <c r="HD190" s="86"/>
      <c r="HI190" s="86"/>
      <c r="HJ190" s="86"/>
      <c r="HQ190" s="63"/>
      <c r="HR190" s="54"/>
      <c r="HU190" s="86"/>
      <c r="HZ190" s="86"/>
      <c r="IA190" s="86"/>
      <c r="IF190" s="54"/>
      <c r="IK190" s="86"/>
    </row>
    <row r="191" spans="1:245">
      <c r="A191" s="86">
        <v>161</v>
      </c>
      <c r="B191" s="117"/>
      <c r="C191" s="117"/>
      <c r="D191" s="117"/>
      <c r="E191" s="117"/>
      <c r="K191" s="117"/>
      <c r="L191" s="45"/>
      <c r="M191" s="45"/>
      <c r="N191" s="45"/>
      <c r="O191" s="45"/>
      <c r="P191" s="45"/>
      <c r="Q191" s="45"/>
      <c r="R191" s="45"/>
      <c r="S191" s="117"/>
      <c r="T191" s="117"/>
      <c r="U191" s="74"/>
      <c r="V191" s="74"/>
      <c r="W191" s="74"/>
      <c r="X191" s="74"/>
      <c r="Y191" s="74"/>
      <c r="Z191" s="74"/>
      <c r="AA191" s="74"/>
      <c r="AB191" s="74"/>
      <c r="AC191" s="117"/>
      <c r="AD191" s="117"/>
      <c r="AE191" s="117"/>
      <c r="AF191" s="117"/>
      <c r="AG191" s="117"/>
      <c r="AH191" s="117"/>
      <c r="AI191" s="117"/>
      <c r="AJ191" s="117"/>
      <c r="AK191" s="117"/>
      <c r="AL191" s="117"/>
      <c r="AM191" s="117"/>
      <c r="AN191" s="117"/>
      <c r="AO191" s="117"/>
      <c r="AP191" s="117"/>
      <c r="AQ191" s="117"/>
      <c r="AR191" s="300"/>
      <c r="AS191" s="300"/>
      <c r="AT191" s="86"/>
      <c r="AU191" s="162"/>
      <c r="AV191" s="162"/>
      <c r="AW191" s="162"/>
      <c r="AX191" s="162"/>
      <c r="AY191" s="162"/>
      <c r="BB191" s="45"/>
      <c r="BC191" s="45"/>
      <c r="BD191" s="117"/>
      <c r="BE191" s="117"/>
      <c r="BF191" s="99"/>
      <c r="BG191" s="99"/>
      <c r="BH191" s="74"/>
      <c r="BI191" s="117"/>
      <c r="BJ191" s="117"/>
      <c r="BK191" s="117"/>
      <c r="BL191" s="117"/>
      <c r="BM191" s="117"/>
      <c r="BN191" s="117"/>
      <c r="BO191" s="117"/>
      <c r="BP191" s="117"/>
      <c r="BQ191" s="117"/>
      <c r="BR191" s="117"/>
      <c r="BS191" s="117"/>
      <c r="BT191" s="117"/>
      <c r="BU191" s="117"/>
      <c r="BV191" s="117"/>
      <c r="BW191" s="117"/>
      <c r="BX191" s="102"/>
      <c r="BY191" s="102"/>
      <c r="CD191" s="102"/>
      <c r="CE191" s="102"/>
      <c r="CG191" s="86"/>
      <c r="CH191" s="86"/>
      <c r="CI191" s="86"/>
      <c r="CJ191" s="86"/>
      <c r="CL191" s="63"/>
      <c r="CM191" s="54"/>
      <c r="CN191" s="152"/>
      <c r="CO191" s="54"/>
      <c r="CP191" s="54"/>
      <c r="CQ191" s="86"/>
      <c r="CR191" s="63"/>
      <c r="CS191" s="63"/>
      <c r="CT191" s="63"/>
      <c r="CU191" s="63"/>
      <c r="CV191" s="86"/>
      <c r="CW191" s="86"/>
      <c r="CX191" s="86"/>
      <c r="DF191" s="54"/>
      <c r="DG191" s="54"/>
      <c r="DH191" s="63"/>
      <c r="DI191" s="63"/>
      <c r="DJ191" s="63"/>
      <c r="DK191" s="63"/>
      <c r="DL191" s="63"/>
      <c r="DN191" s="86"/>
      <c r="DO191" s="86"/>
      <c r="DP191" s="86"/>
      <c r="DR191" s="63"/>
      <c r="DW191" s="54"/>
      <c r="DX191" s="54"/>
      <c r="DY191" s="63"/>
      <c r="DZ191" s="63"/>
      <c r="EA191" s="63"/>
      <c r="EB191" s="63"/>
      <c r="EC191" s="63"/>
      <c r="EE191" s="86"/>
      <c r="EF191" s="86"/>
      <c r="EG191" s="86"/>
      <c r="EI191" s="63"/>
      <c r="EN191" s="54"/>
      <c r="EQ191" s="86"/>
      <c r="ER191" s="86"/>
      <c r="EX191" s="54"/>
      <c r="FG191" s="86"/>
      <c r="FL191" s="45"/>
      <c r="FT191" s="63"/>
      <c r="FU191" s="54"/>
      <c r="FV191" s="54"/>
      <c r="FW191" s="54"/>
      <c r="FX191" s="86"/>
      <c r="FY191" s="86"/>
      <c r="FZ191" s="102"/>
      <c r="GA191" s="86"/>
      <c r="GB191" s="86"/>
      <c r="GD191" s="63"/>
      <c r="GE191" s="63"/>
      <c r="GF191" s="63"/>
      <c r="GG191" s="63"/>
      <c r="GH191" s="45"/>
      <c r="GI191" s="54"/>
      <c r="GJ191" s="54"/>
      <c r="GL191" s="86"/>
      <c r="GR191" s="86"/>
      <c r="GS191" s="86"/>
      <c r="GU191" s="63"/>
      <c r="GV191" s="63"/>
      <c r="GW191" s="63"/>
      <c r="GX191" s="63"/>
      <c r="GZ191" s="63"/>
      <c r="HA191" s="54"/>
      <c r="HD191" s="86"/>
      <c r="HI191" s="86"/>
      <c r="HJ191" s="86"/>
      <c r="HQ191" s="63"/>
      <c r="HR191" s="54"/>
      <c r="HU191" s="86"/>
      <c r="HZ191" s="86"/>
      <c r="IA191" s="86"/>
      <c r="IF191" s="54"/>
      <c r="IK191" s="86"/>
    </row>
    <row r="192" spans="1:245">
      <c r="A192" s="86">
        <v>162</v>
      </c>
      <c r="B192" s="117"/>
      <c r="C192" s="117"/>
      <c r="D192" s="117"/>
      <c r="E192" s="117"/>
      <c r="K192" s="117"/>
      <c r="L192" s="45"/>
      <c r="M192" s="45"/>
      <c r="N192" s="45"/>
      <c r="O192" s="45"/>
      <c r="P192" s="45"/>
      <c r="Q192" s="45"/>
      <c r="R192" s="45"/>
      <c r="S192" s="117"/>
      <c r="T192" s="117"/>
      <c r="U192" s="74"/>
      <c r="V192" s="74"/>
      <c r="W192" s="74"/>
      <c r="X192" s="74"/>
      <c r="Y192" s="74"/>
      <c r="Z192" s="74"/>
      <c r="AA192" s="74"/>
      <c r="AB192" s="74"/>
      <c r="AC192" s="117"/>
      <c r="AD192" s="117"/>
      <c r="AE192" s="117"/>
      <c r="AF192" s="117"/>
      <c r="AG192" s="117"/>
      <c r="AH192" s="117"/>
      <c r="AI192" s="117"/>
      <c r="AJ192" s="117"/>
      <c r="AK192" s="117"/>
      <c r="AL192" s="117"/>
      <c r="AM192" s="117"/>
      <c r="AN192" s="117"/>
      <c r="AO192" s="117"/>
      <c r="AP192" s="117"/>
      <c r="AQ192" s="117"/>
      <c r="AR192" s="300"/>
      <c r="AS192" s="300"/>
      <c r="AT192" s="86"/>
      <c r="AU192" s="162"/>
      <c r="AV192" s="162"/>
      <c r="AW192" s="162"/>
      <c r="AX192" s="162"/>
      <c r="AY192" s="162"/>
      <c r="BB192" s="45"/>
      <c r="BC192" s="45"/>
      <c r="BD192" s="117"/>
      <c r="BE192" s="117"/>
      <c r="BF192" s="99"/>
      <c r="BG192" s="99"/>
      <c r="BH192" s="74"/>
      <c r="BI192" s="117"/>
      <c r="BJ192" s="117"/>
      <c r="BK192" s="117"/>
      <c r="BL192" s="117"/>
      <c r="BM192" s="117"/>
      <c r="BN192" s="117"/>
      <c r="BO192" s="117"/>
      <c r="BP192" s="117"/>
      <c r="BQ192" s="117"/>
      <c r="BR192" s="117"/>
      <c r="BS192" s="117"/>
      <c r="BT192" s="117"/>
      <c r="BU192" s="117"/>
      <c r="BV192" s="117"/>
      <c r="BW192" s="117"/>
      <c r="BX192" s="102"/>
      <c r="BY192" s="102"/>
      <c r="CD192" s="102"/>
      <c r="CE192" s="102"/>
      <c r="CG192" s="86"/>
      <c r="CH192" s="86"/>
      <c r="CI192" s="86"/>
      <c r="CJ192" s="86"/>
      <c r="CL192" s="63"/>
      <c r="CM192" s="54"/>
      <c r="CN192" s="54"/>
      <c r="CO192" s="54"/>
      <c r="CP192" s="54"/>
      <c r="CQ192" s="86"/>
      <c r="CR192" s="63"/>
      <c r="CS192" s="63"/>
      <c r="CT192" s="63"/>
      <c r="CU192" s="63"/>
      <c r="CV192" s="86"/>
      <c r="CW192" s="86"/>
      <c r="CX192" s="86"/>
      <c r="DF192" s="54"/>
      <c r="DG192" s="54"/>
      <c r="DH192" s="63"/>
      <c r="DI192" s="63"/>
      <c r="DJ192" s="63"/>
      <c r="DK192" s="63"/>
      <c r="DL192" s="63"/>
      <c r="DN192" s="86"/>
      <c r="DO192" s="86"/>
      <c r="DP192" s="86"/>
      <c r="DR192" s="63"/>
      <c r="DW192" s="54"/>
      <c r="DX192" s="54"/>
      <c r="DY192" s="63"/>
      <c r="DZ192" s="63"/>
      <c r="EA192" s="63"/>
      <c r="EB192" s="63"/>
      <c r="EC192" s="63"/>
      <c r="EE192" s="86"/>
      <c r="EF192" s="86"/>
      <c r="EG192" s="86"/>
      <c r="EI192" s="63"/>
      <c r="EN192" s="54"/>
      <c r="EQ192" s="86"/>
      <c r="ER192" s="86"/>
      <c r="EX192" s="54"/>
      <c r="FG192" s="86"/>
      <c r="FL192" s="45"/>
      <c r="FT192" s="63"/>
      <c r="FU192" s="54"/>
      <c r="FV192" s="54"/>
      <c r="FW192" s="54"/>
      <c r="FX192" s="86"/>
      <c r="FY192" s="86"/>
      <c r="FZ192" s="102"/>
      <c r="GA192" s="86"/>
      <c r="GB192" s="86"/>
      <c r="GD192" s="63"/>
      <c r="GE192" s="63"/>
      <c r="GF192" s="63"/>
      <c r="GG192" s="63"/>
      <c r="GH192" s="45"/>
      <c r="GI192" s="54"/>
      <c r="GJ192" s="54"/>
      <c r="GL192" s="86"/>
      <c r="GR192" s="86"/>
      <c r="GS192" s="86"/>
      <c r="GU192" s="63"/>
      <c r="GV192" s="63"/>
      <c r="GW192" s="63"/>
      <c r="GX192" s="63"/>
      <c r="GZ192" s="63"/>
      <c r="HA192" s="54"/>
      <c r="HD192" s="86"/>
      <c r="HI192" s="86"/>
      <c r="HJ192" s="86"/>
      <c r="HQ192" s="63"/>
      <c r="HR192" s="54"/>
      <c r="HU192" s="86"/>
      <c r="HZ192" s="86"/>
      <c r="IA192" s="86"/>
      <c r="IF192" s="54"/>
      <c r="IK192" s="86"/>
    </row>
    <row r="193" spans="1:245">
      <c r="A193" s="86">
        <v>163</v>
      </c>
      <c r="B193" s="117"/>
      <c r="C193" s="117"/>
      <c r="D193" s="117"/>
      <c r="E193" s="117"/>
      <c r="K193" s="117"/>
      <c r="L193" s="45"/>
      <c r="M193" s="45"/>
      <c r="N193" s="45"/>
      <c r="O193" s="45"/>
      <c r="P193" s="45"/>
      <c r="Q193" s="45"/>
      <c r="R193" s="45"/>
      <c r="S193" s="117"/>
      <c r="T193" s="117"/>
      <c r="U193" s="74"/>
      <c r="V193" s="74"/>
      <c r="W193" s="74"/>
      <c r="X193" s="74"/>
      <c r="Y193" s="74"/>
      <c r="Z193" s="74"/>
      <c r="AA193" s="74"/>
      <c r="AB193" s="74"/>
      <c r="AC193" s="117"/>
      <c r="AD193" s="117"/>
      <c r="AE193" s="117"/>
      <c r="AF193" s="117"/>
      <c r="AG193" s="117"/>
      <c r="AH193" s="117"/>
      <c r="AI193" s="117"/>
      <c r="AJ193" s="117"/>
      <c r="AK193" s="117"/>
      <c r="AL193" s="117"/>
      <c r="AM193" s="117"/>
      <c r="AN193" s="117"/>
      <c r="AO193" s="117"/>
      <c r="AP193" s="117"/>
      <c r="AQ193" s="117"/>
      <c r="AR193" s="300"/>
      <c r="AS193" s="300"/>
      <c r="AT193" s="86"/>
      <c r="AU193" s="162"/>
      <c r="AV193" s="162"/>
      <c r="AW193" s="162"/>
      <c r="AX193" s="162"/>
      <c r="AY193" s="162"/>
      <c r="BB193" s="45"/>
      <c r="BC193" s="45"/>
      <c r="BD193" s="117"/>
      <c r="BE193" s="117"/>
      <c r="BF193" s="99"/>
      <c r="BG193" s="99"/>
      <c r="BH193" s="74"/>
      <c r="BI193" s="117"/>
      <c r="BJ193" s="117"/>
      <c r="BK193" s="117"/>
      <c r="BL193" s="117"/>
      <c r="BM193" s="117"/>
      <c r="BN193" s="117"/>
      <c r="BO193" s="117"/>
      <c r="BP193" s="117"/>
      <c r="BQ193" s="117"/>
      <c r="BR193" s="117"/>
      <c r="BS193" s="117"/>
      <c r="BT193" s="117"/>
      <c r="BU193" s="117"/>
      <c r="BV193" s="117"/>
      <c r="BW193" s="117"/>
      <c r="BX193" s="102"/>
      <c r="BY193" s="102"/>
      <c r="CD193" s="102"/>
      <c r="CE193" s="102"/>
      <c r="CG193" s="86"/>
      <c r="CH193" s="86"/>
      <c r="CI193" s="86"/>
      <c r="CJ193" s="86"/>
      <c r="CL193" s="63"/>
      <c r="CM193" s="54"/>
      <c r="CN193" s="54"/>
      <c r="CO193" s="54"/>
      <c r="CP193" s="54"/>
      <c r="CQ193" s="86"/>
      <c r="CR193" s="63"/>
      <c r="CS193" s="63"/>
      <c r="CT193" s="63"/>
      <c r="CU193" s="63"/>
      <c r="CV193" s="86"/>
      <c r="CW193" s="86"/>
      <c r="CX193" s="86"/>
      <c r="DF193" s="54"/>
      <c r="DG193" s="54"/>
      <c r="DH193" s="63"/>
      <c r="DI193" s="63"/>
      <c r="DJ193" s="63"/>
      <c r="DK193" s="63"/>
      <c r="DL193" s="63"/>
      <c r="DN193" s="86"/>
      <c r="DO193" s="86"/>
      <c r="DP193" s="86"/>
      <c r="DR193" s="63"/>
      <c r="DW193" s="54"/>
      <c r="DX193" s="54"/>
      <c r="DY193" s="63"/>
      <c r="DZ193" s="63"/>
      <c r="EA193" s="63"/>
      <c r="EB193" s="63"/>
      <c r="EC193" s="63"/>
      <c r="EE193" s="86"/>
      <c r="EF193" s="86"/>
      <c r="EG193" s="86"/>
      <c r="EI193" s="63"/>
      <c r="EN193" s="54"/>
      <c r="EQ193" s="86"/>
      <c r="ER193" s="86"/>
      <c r="EX193" s="54"/>
      <c r="FG193" s="86"/>
      <c r="FL193" s="45"/>
      <c r="FT193" s="63"/>
      <c r="FU193" s="54"/>
      <c r="FV193" s="54"/>
      <c r="FW193" s="54"/>
      <c r="FX193" s="86"/>
      <c r="FY193" s="86"/>
      <c r="FZ193" s="102"/>
      <c r="GA193" s="86"/>
      <c r="GB193" s="86"/>
      <c r="GD193" s="63"/>
      <c r="GE193" s="63"/>
      <c r="GF193" s="63"/>
      <c r="GG193" s="63"/>
      <c r="GH193" s="45"/>
      <c r="GI193" s="54"/>
      <c r="GJ193" s="54"/>
      <c r="GL193" s="86"/>
      <c r="GR193" s="86"/>
      <c r="GS193" s="86"/>
      <c r="GU193" s="63"/>
      <c r="GV193" s="63"/>
      <c r="GW193" s="63"/>
      <c r="GX193" s="63"/>
      <c r="GZ193" s="63"/>
      <c r="HA193" s="54"/>
      <c r="HD193" s="86"/>
      <c r="HI193" s="86"/>
      <c r="HJ193" s="86"/>
      <c r="HQ193" s="63"/>
      <c r="HR193" s="54"/>
      <c r="HU193" s="86"/>
      <c r="HZ193" s="86"/>
      <c r="IA193" s="86"/>
      <c r="IF193" s="54"/>
      <c r="IK193" s="86"/>
    </row>
    <row r="194" spans="1:245">
      <c r="A194" s="86">
        <v>164</v>
      </c>
      <c r="B194" s="117"/>
      <c r="C194" s="117"/>
      <c r="D194" s="117"/>
      <c r="E194" s="117"/>
      <c r="K194" s="117"/>
      <c r="L194" s="45"/>
      <c r="M194" s="45"/>
      <c r="N194" s="45"/>
      <c r="O194" s="45"/>
      <c r="P194" s="45"/>
      <c r="Q194" s="45"/>
      <c r="R194" s="45"/>
      <c r="S194" s="117"/>
      <c r="T194" s="117"/>
      <c r="U194" s="74"/>
      <c r="V194" s="74"/>
      <c r="W194" s="74"/>
      <c r="X194" s="74"/>
      <c r="Y194" s="74"/>
      <c r="Z194" s="74"/>
      <c r="AA194" s="74"/>
      <c r="AB194" s="74"/>
      <c r="AC194" s="117"/>
      <c r="AD194" s="117"/>
      <c r="AE194" s="117"/>
      <c r="AF194" s="117"/>
      <c r="AG194" s="117"/>
      <c r="AH194" s="117"/>
      <c r="AI194" s="117"/>
      <c r="AJ194" s="117"/>
      <c r="AK194" s="117"/>
      <c r="AL194" s="117"/>
      <c r="AM194" s="117"/>
      <c r="AN194" s="117"/>
      <c r="AO194" s="117"/>
      <c r="AP194" s="117"/>
      <c r="AQ194" s="117"/>
      <c r="AR194" s="300"/>
      <c r="AS194" s="300"/>
      <c r="AT194" s="86"/>
      <c r="AU194" s="162"/>
      <c r="AV194" s="162"/>
      <c r="AW194" s="162"/>
      <c r="AX194" s="162"/>
      <c r="AY194" s="162"/>
      <c r="BB194" s="45"/>
      <c r="BC194" s="45"/>
      <c r="BD194" s="117"/>
      <c r="BE194" s="117"/>
      <c r="BF194" s="99"/>
      <c r="BG194" s="99"/>
      <c r="BH194" s="74"/>
      <c r="BI194" s="117"/>
      <c r="BJ194" s="117"/>
      <c r="BK194" s="117"/>
      <c r="BL194" s="117"/>
      <c r="BM194" s="117"/>
      <c r="BN194" s="117"/>
      <c r="BO194" s="117"/>
      <c r="BP194" s="117"/>
      <c r="BQ194" s="117"/>
      <c r="BR194" s="117"/>
      <c r="BS194" s="117"/>
      <c r="BT194" s="117"/>
      <c r="BU194" s="117"/>
      <c r="BV194" s="117"/>
      <c r="BW194" s="117"/>
      <c r="BX194" s="102"/>
      <c r="BY194" s="102"/>
      <c r="CD194" s="102"/>
      <c r="CE194" s="102"/>
      <c r="CG194" s="86"/>
      <c r="CH194" s="86"/>
      <c r="CI194" s="86"/>
      <c r="CJ194" s="86"/>
      <c r="CL194" s="63"/>
      <c r="CM194" s="54"/>
      <c r="CN194" s="54"/>
      <c r="CO194" s="54"/>
      <c r="CP194" s="54"/>
      <c r="CQ194" s="86"/>
      <c r="CR194" s="63"/>
      <c r="CS194" s="63"/>
      <c r="CT194" s="63"/>
      <c r="CU194" s="63"/>
      <c r="CV194" s="86"/>
      <c r="CW194" s="86"/>
      <c r="CX194" s="86"/>
      <c r="DF194" s="54"/>
      <c r="DG194" s="54"/>
      <c r="DH194" s="63"/>
      <c r="DI194" s="63"/>
      <c r="DJ194" s="63"/>
      <c r="DK194" s="63"/>
      <c r="DL194" s="63"/>
      <c r="DN194" s="86"/>
      <c r="DO194" s="86"/>
      <c r="DP194" s="86"/>
      <c r="DR194" s="63"/>
      <c r="DW194" s="54"/>
      <c r="DX194" s="54"/>
      <c r="DY194" s="63"/>
      <c r="DZ194" s="63"/>
      <c r="EA194" s="63"/>
      <c r="EB194" s="63"/>
      <c r="EC194" s="63"/>
      <c r="EE194" s="86"/>
      <c r="EF194" s="86"/>
      <c r="EG194" s="86"/>
      <c r="EI194" s="63"/>
      <c r="EN194" s="54"/>
      <c r="EQ194" s="86"/>
      <c r="ER194" s="86"/>
      <c r="EX194" s="54"/>
      <c r="FG194" s="86"/>
      <c r="FL194" s="45"/>
      <c r="FT194" s="63"/>
      <c r="FU194" s="54"/>
      <c r="FV194" s="54"/>
      <c r="FW194" s="54"/>
      <c r="FX194" s="86"/>
      <c r="FY194" s="86"/>
      <c r="FZ194" s="102"/>
      <c r="GA194" s="86"/>
      <c r="GB194" s="86"/>
      <c r="GD194" s="63"/>
      <c r="GE194" s="63"/>
      <c r="GF194" s="63"/>
      <c r="GG194" s="63"/>
      <c r="GH194" s="45"/>
      <c r="GI194" s="54"/>
      <c r="GJ194" s="54"/>
      <c r="GL194" s="86"/>
      <c r="GR194" s="86"/>
      <c r="GS194" s="86"/>
      <c r="GU194" s="63"/>
      <c r="GV194" s="63"/>
      <c r="GW194" s="63"/>
      <c r="GX194" s="63"/>
      <c r="GZ194" s="63"/>
      <c r="HA194" s="54"/>
      <c r="HD194" s="86"/>
      <c r="HI194" s="86"/>
      <c r="HJ194" s="86"/>
      <c r="HQ194" s="63"/>
      <c r="HR194" s="54"/>
      <c r="HU194" s="86"/>
      <c r="HZ194" s="86"/>
      <c r="IA194" s="86"/>
      <c r="IF194" s="54"/>
      <c r="IK194" s="86"/>
    </row>
    <row r="195" spans="1:245">
      <c r="A195" s="86">
        <v>165</v>
      </c>
      <c r="B195" s="117"/>
      <c r="C195" s="117"/>
      <c r="D195" s="117"/>
      <c r="E195" s="117"/>
      <c r="K195" s="117"/>
      <c r="L195" s="45"/>
      <c r="M195" s="45"/>
      <c r="N195" s="45"/>
      <c r="O195" s="45"/>
      <c r="P195" s="45"/>
      <c r="Q195" s="45"/>
      <c r="R195" s="45"/>
      <c r="S195" s="117"/>
      <c r="T195" s="117"/>
      <c r="U195" s="74"/>
      <c r="V195" s="74"/>
      <c r="W195" s="74"/>
      <c r="X195" s="74"/>
      <c r="Y195" s="74"/>
      <c r="Z195" s="74"/>
      <c r="AA195" s="74"/>
      <c r="AB195" s="74"/>
      <c r="AC195" s="117"/>
      <c r="AD195" s="117"/>
      <c r="AE195" s="117"/>
      <c r="AF195" s="117"/>
      <c r="AG195" s="117"/>
      <c r="AH195" s="117"/>
      <c r="AI195" s="117"/>
      <c r="AJ195" s="117"/>
      <c r="AK195" s="117"/>
      <c r="AL195" s="117"/>
      <c r="AM195" s="117"/>
      <c r="AN195" s="117"/>
      <c r="AO195" s="117"/>
      <c r="AP195" s="117"/>
      <c r="AQ195" s="117"/>
      <c r="AR195" s="300"/>
      <c r="AS195" s="300"/>
      <c r="AT195" s="86"/>
      <c r="AU195" s="162"/>
      <c r="AV195" s="162"/>
      <c r="AW195" s="162"/>
      <c r="AX195" s="162"/>
      <c r="AY195" s="162"/>
      <c r="BB195" s="45"/>
      <c r="BC195" s="45"/>
      <c r="BD195" s="117"/>
      <c r="BE195" s="117"/>
      <c r="BF195" s="99"/>
      <c r="BG195" s="99"/>
      <c r="BH195" s="74"/>
      <c r="BI195" s="117"/>
      <c r="BJ195" s="117"/>
      <c r="BK195" s="117"/>
      <c r="BL195" s="117"/>
      <c r="BM195" s="117"/>
      <c r="BN195" s="117"/>
      <c r="BO195" s="117"/>
      <c r="BP195" s="117"/>
      <c r="BQ195" s="117"/>
      <c r="BR195" s="117"/>
      <c r="BS195" s="117"/>
      <c r="BT195" s="117"/>
      <c r="BU195" s="117"/>
      <c r="BV195" s="117"/>
      <c r="BW195" s="117"/>
      <c r="BX195" s="102"/>
      <c r="BY195" s="102"/>
      <c r="CD195" s="102"/>
      <c r="CE195" s="102"/>
      <c r="CG195" s="86"/>
      <c r="CH195" s="86"/>
      <c r="CI195" s="86"/>
      <c r="CJ195" s="86"/>
      <c r="CL195" s="63"/>
      <c r="CM195" s="54"/>
      <c r="CN195" s="54"/>
      <c r="CO195" s="54"/>
      <c r="CP195" s="54"/>
      <c r="CQ195" s="86"/>
      <c r="CR195" s="63"/>
      <c r="CS195" s="63"/>
      <c r="CT195" s="63"/>
      <c r="CU195" s="63"/>
      <c r="CV195" s="86"/>
      <c r="CW195" s="86"/>
      <c r="CX195" s="86"/>
      <c r="DF195" s="54"/>
      <c r="DG195" s="54"/>
      <c r="DH195" s="63"/>
      <c r="DI195" s="63"/>
      <c r="DJ195" s="63"/>
      <c r="DK195" s="63"/>
      <c r="DL195" s="63"/>
      <c r="DN195" s="86"/>
      <c r="DO195" s="86"/>
      <c r="DP195" s="86"/>
      <c r="DR195" s="63"/>
      <c r="DW195" s="54"/>
      <c r="DX195" s="54"/>
      <c r="DY195" s="63"/>
      <c r="DZ195" s="63"/>
      <c r="EA195" s="63"/>
      <c r="EB195" s="63"/>
      <c r="EC195" s="63"/>
      <c r="EE195" s="86"/>
      <c r="EF195" s="86"/>
      <c r="EG195" s="86"/>
      <c r="EI195" s="63"/>
      <c r="EN195" s="54"/>
      <c r="EQ195" s="86"/>
      <c r="ER195" s="86"/>
      <c r="EX195" s="54"/>
      <c r="FG195" s="86"/>
      <c r="FL195" s="45"/>
      <c r="FT195" s="63"/>
      <c r="FU195" s="54"/>
      <c r="FV195" s="54"/>
      <c r="FW195" s="54"/>
      <c r="FX195" s="86"/>
      <c r="FY195" s="86"/>
      <c r="FZ195" s="102"/>
      <c r="GA195" s="86"/>
      <c r="GB195" s="86"/>
      <c r="GD195" s="63"/>
      <c r="GE195" s="63"/>
      <c r="GF195" s="63"/>
      <c r="GG195" s="63"/>
      <c r="GH195" s="45"/>
      <c r="GI195" s="54"/>
      <c r="GJ195" s="54"/>
      <c r="GL195" s="86"/>
      <c r="GR195" s="86"/>
      <c r="GS195" s="86"/>
      <c r="GU195" s="63"/>
      <c r="GV195" s="63"/>
      <c r="GW195" s="63"/>
      <c r="GX195" s="63"/>
      <c r="GZ195" s="63"/>
      <c r="HA195" s="54"/>
      <c r="HD195" s="86"/>
      <c r="HI195" s="86"/>
      <c r="HJ195" s="86"/>
      <c r="HQ195" s="63"/>
      <c r="HR195" s="54"/>
      <c r="HU195" s="86"/>
      <c r="HZ195" s="86"/>
      <c r="IA195" s="86"/>
      <c r="IF195" s="54"/>
      <c r="IK195" s="86"/>
    </row>
    <row r="196" spans="1:245">
      <c r="A196" s="86">
        <v>166</v>
      </c>
      <c r="B196" s="117"/>
      <c r="C196" s="117"/>
      <c r="D196" s="117"/>
      <c r="E196" s="117"/>
      <c r="K196" s="117"/>
      <c r="L196" s="45"/>
      <c r="M196" s="45"/>
      <c r="N196" s="45"/>
      <c r="O196" s="45"/>
      <c r="P196" s="45"/>
      <c r="Q196" s="45"/>
      <c r="R196" s="45"/>
      <c r="S196" s="117"/>
      <c r="T196" s="117"/>
      <c r="U196" s="74"/>
      <c r="V196" s="74"/>
      <c r="W196" s="74"/>
      <c r="X196" s="74"/>
      <c r="Y196" s="74"/>
      <c r="Z196" s="74"/>
      <c r="AA196" s="74"/>
      <c r="AB196" s="74"/>
      <c r="AC196" s="117"/>
      <c r="AD196" s="117"/>
      <c r="AE196" s="117"/>
      <c r="AF196" s="117"/>
      <c r="AG196" s="117"/>
      <c r="AH196" s="117"/>
      <c r="AI196" s="117"/>
      <c r="AJ196" s="117"/>
      <c r="AK196" s="117"/>
      <c r="AL196" s="117"/>
      <c r="AM196" s="117"/>
      <c r="AN196" s="117"/>
      <c r="AO196" s="117"/>
      <c r="AP196" s="117"/>
      <c r="AQ196" s="117"/>
      <c r="AR196" s="300"/>
      <c r="AS196" s="300"/>
      <c r="AT196" s="86"/>
      <c r="AU196" s="162"/>
      <c r="AV196" s="162"/>
      <c r="AW196" s="162"/>
      <c r="AX196" s="162"/>
      <c r="AY196" s="162"/>
      <c r="BB196" s="45"/>
      <c r="BC196" s="45"/>
      <c r="BD196" s="117"/>
      <c r="BE196" s="117"/>
      <c r="BF196" s="99"/>
      <c r="BG196" s="99"/>
      <c r="BH196" s="74"/>
      <c r="BI196" s="117"/>
      <c r="BJ196" s="117"/>
      <c r="BK196" s="117"/>
      <c r="BL196" s="117"/>
      <c r="BM196" s="117"/>
      <c r="BN196" s="117"/>
      <c r="BO196" s="117"/>
      <c r="BP196" s="117"/>
      <c r="BQ196" s="117"/>
      <c r="BR196" s="117"/>
      <c r="BS196" s="117"/>
      <c r="BT196" s="117"/>
      <c r="BU196" s="117"/>
      <c r="BV196" s="117"/>
      <c r="BW196" s="117"/>
      <c r="BX196" s="102"/>
      <c r="BY196" s="102"/>
      <c r="CD196" s="102"/>
      <c r="CE196" s="102"/>
      <c r="CG196" s="86"/>
      <c r="CH196" s="86"/>
      <c r="CI196" s="86"/>
      <c r="CJ196" s="86"/>
      <c r="CL196" s="63"/>
      <c r="CM196" s="54"/>
      <c r="CN196" s="54"/>
      <c r="CO196" s="54"/>
      <c r="CP196" s="54"/>
      <c r="CQ196" s="86"/>
      <c r="CR196" s="63"/>
      <c r="CS196" s="63"/>
      <c r="CT196" s="63"/>
      <c r="CU196" s="63"/>
      <c r="CV196" s="86"/>
      <c r="CW196" s="86"/>
      <c r="CX196" s="86"/>
      <c r="DF196" s="54"/>
      <c r="DG196" s="54"/>
      <c r="DH196" s="63"/>
      <c r="DI196" s="63"/>
      <c r="DJ196" s="63"/>
      <c r="DK196" s="63"/>
      <c r="DL196" s="63"/>
      <c r="DN196" s="86"/>
      <c r="DO196" s="86"/>
      <c r="DP196" s="86"/>
      <c r="DR196" s="63"/>
      <c r="DW196" s="54"/>
      <c r="DX196" s="54"/>
      <c r="DY196" s="63"/>
      <c r="DZ196" s="63"/>
      <c r="EA196" s="63"/>
      <c r="EB196" s="63"/>
      <c r="EC196" s="63"/>
      <c r="EE196" s="86"/>
      <c r="EF196" s="86"/>
      <c r="EG196" s="86"/>
      <c r="EI196" s="63"/>
      <c r="EN196" s="54"/>
      <c r="EQ196" s="86"/>
      <c r="ER196" s="86"/>
      <c r="EX196" s="54"/>
      <c r="FG196" s="86"/>
      <c r="FL196" s="45"/>
      <c r="FT196" s="63"/>
      <c r="FU196" s="54"/>
      <c r="FV196" s="54"/>
      <c r="FW196" s="54"/>
      <c r="FX196" s="86"/>
      <c r="FY196" s="86"/>
      <c r="FZ196" s="102"/>
      <c r="GA196" s="86"/>
      <c r="GB196" s="86"/>
      <c r="GD196" s="63"/>
      <c r="GE196" s="63"/>
      <c r="GF196" s="63"/>
      <c r="GG196" s="63"/>
      <c r="GH196" s="45"/>
      <c r="GI196" s="54"/>
      <c r="GJ196" s="54"/>
      <c r="GL196" s="86"/>
      <c r="GR196" s="86"/>
      <c r="GS196" s="86"/>
      <c r="GU196" s="63"/>
      <c r="GV196" s="63"/>
      <c r="GW196" s="63"/>
      <c r="GX196" s="63"/>
      <c r="GZ196" s="63"/>
      <c r="HA196" s="54"/>
      <c r="HD196" s="86"/>
      <c r="HI196" s="86"/>
      <c r="HJ196" s="86"/>
      <c r="HQ196" s="63"/>
      <c r="HR196" s="54"/>
      <c r="HU196" s="86"/>
      <c r="HZ196" s="86"/>
      <c r="IA196" s="86"/>
      <c r="IF196" s="54"/>
      <c r="IK196" s="86"/>
    </row>
    <row r="197" spans="1:245">
      <c r="A197" s="86">
        <v>167</v>
      </c>
      <c r="B197" s="117"/>
      <c r="C197" s="117"/>
      <c r="D197" s="117"/>
      <c r="E197" s="117"/>
      <c r="K197" s="117"/>
      <c r="L197" s="45"/>
      <c r="M197" s="45"/>
      <c r="N197" s="45"/>
      <c r="O197" s="45"/>
      <c r="P197" s="45"/>
      <c r="Q197" s="45"/>
      <c r="R197" s="45"/>
      <c r="S197" s="117"/>
      <c r="T197" s="117"/>
      <c r="U197" s="74"/>
      <c r="V197" s="74"/>
      <c r="W197" s="74"/>
      <c r="X197" s="74"/>
      <c r="Y197" s="74"/>
      <c r="Z197" s="74"/>
      <c r="AA197" s="74"/>
      <c r="AB197" s="74"/>
      <c r="AC197" s="117"/>
      <c r="AD197" s="117"/>
      <c r="AE197" s="117"/>
      <c r="AF197" s="117"/>
      <c r="AG197" s="117"/>
      <c r="AH197" s="117"/>
      <c r="AI197" s="117"/>
      <c r="AJ197" s="117"/>
      <c r="AK197" s="117"/>
      <c r="AL197" s="117"/>
      <c r="AM197" s="117"/>
      <c r="AN197" s="117"/>
      <c r="AO197" s="117"/>
      <c r="AP197" s="117"/>
      <c r="AQ197" s="117"/>
      <c r="AR197" s="300"/>
      <c r="AS197" s="300"/>
      <c r="AT197" s="86"/>
      <c r="AU197" s="162"/>
      <c r="AV197" s="162"/>
      <c r="AW197" s="162"/>
      <c r="AX197" s="162"/>
      <c r="AY197" s="162"/>
      <c r="BB197" s="45"/>
      <c r="BC197" s="45"/>
      <c r="BD197" s="117"/>
      <c r="BE197" s="117"/>
      <c r="BF197" s="99"/>
      <c r="BG197" s="99"/>
      <c r="BH197" s="74"/>
      <c r="BI197" s="117"/>
      <c r="BJ197" s="117"/>
      <c r="BK197" s="117"/>
      <c r="BL197" s="117"/>
      <c r="BM197" s="117"/>
      <c r="BN197" s="117"/>
      <c r="BO197" s="117"/>
      <c r="BP197" s="117"/>
      <c r="BQ197" s="117"/>
      <c r="BR197" s="117"/>
      <c r="BS197" s="117"/>
      <c r="BT197" s="117"/>
      <c r="BU197" s="117"/>
      <c r="BV197" s="117"/>
      <c r="BW197" s="117"/>
      <c r="BX197" s="102"/>
      <c r="BY197" s="102"/>
      <c r="CD197" s="102"/>
      <c r="CE197" s="102"/>
      <c r="CG197" s="86"/>
      <c r="CH197" s="86"/>
      <c r="CI197" s="86"/>
      <c r="CJ197" s="86"/>
      <c r="CL197" s="63"/>
      <c r="CM197" s="54"/>
      <c r="CN197" s="54"/>
      <c r="CO197" s="54"/>
      <c r="CP197" s="54"/>
      <c r="CQ197" s="86"/>
      <c r="CR197" s="63"/>
      <c r="CS197" s="63"/>
      <c r="CT197" s="63"/>
      <c r="CU197" s="63"/>
      <c r="CV197" s="86"/>
      <c r="CW197" s="86"/>
      <c r="CX197" s="86"/>
      <c r="DF197" s="54"/>
      <c r="DG197" s="54"/>
      <c r="DH197" s="63"/>
      <c r="DI197" s="63"/>
      <c r="DJ197" s="63"/>
      <c r="DK197" s="63"/>
      <c r="DL197" s="63"/>
      <c r="DN197" s="86"/>
      <c r="DO197" s="86"/>
      <c r="DP197" s="86"/>
      <c r="DR197" s="63"/>
      <c r="DW197" s="54"/>
      <c r="DX197" s="54"/>
      <c r="DY197" s="63"/>
      <c r="DZ197" s="63"/>
      <c r="EA197" s="63"/>
      <c r="EB197" s="63"/>
      <c r="EC197" s="63"/>
      <c r="EE197" s="86"/>
      <c r="EF197" s="86"/>
      <c r="EG197" s="86"/>
      <c r="EI197" s="63"/>
      <c r="EN197" s="54"/>
      <c r="EQ197" s="86"/>
      <c r="ER197" s="86"/>
      <c r="EX197" s="54"/>
      <c r="FG197" s="86"/>
      <c r="FL197" s="45"/>
      <c r="FT197" s="63"/>
      <c r="FU197" s="54"/>
      <c r="FV197" s="54"/>
      <c r="FW197" s="54"/>
      <c r="FX197" s="86"/>
      <c r="FY197" s="86"/>
      <c r="FZ197" s="102"/>
      <c r="GA197" s="86"/>
      <c r="GB197" s="86"/>
      <c r="GD197" s="63"/>
      <c r="GE197" s="63"/>
      <c r="GF197" s="63"/>
      <c r="GG197" s="63"/>
      <c r="GH197" s="45"/>
      <c r="GI197" s="54"/>
      <c r="GJ197" s="54"/>
      <c r="GL197" s="86"/>
      <c r="GM197" s="86"/>
      <c r="GR197" s="86"/>
      <c r="GS197" s="86"/>
      <c r="GU197" s="63"/>
      <c r="GV197" s="63"/>
      <c r="GW197" s="63"/>
      <c r="GX197" s="63"/>
      <c r="GZ197" s="63"/>
      <c r="HA197" s="54"/>
      <c r="HD197" s="86"/>
      <c r="HI197" s="86"/>
      <c r="HJ197" s="86"/>
      <c r="HQ197" s="63"/>
      <c r="HR197" s="54"/>
      <c r="HU197" s="86"/>
      <c r="HZ197" s="86"/>
      <c r="IA197" s="86"/>
      <c r="IF197" s="54"/>
      <c r="IK197" s="86"/>
    </row>
    <row r="198" spans="1:245">
      <c r="A198" s="86">
        <v>168</v>
      </c>
      <c r="B198" s="117"/>
      <c r="C198" s="117"/>
      <c r="D198" s="117"/>
      <c r="E198" s="117"/>
      <c r="K198" s="117"/>
      <c r="L198" s="45"/>
      <c r="M198" s="45"/>
      <c r="N198" s="45"/>
      <c r="O198" s="45"/>
      <c r="P198" s="45"/>
      <c r="Q198" s="45"/>
      <c r="R198" s="45"/>
      <c r="S198" s="117"/>
      <c r="T198" s="117"/>
      <c r="U198" s="74"/>
      <c r="V198" s="74"/>
      <c r="W198" s="74"/>
      <c r="X198" s="74"/>
      <c r="Y198" s="74"/>
      <c r="Z198" s="74"/>
      <c r="AA198" s="74"/>
      <c r="AB198" s="74"/>
      <c r="AC198" s="117"/>
      <c r="AD198" s="117"/>
      <c r="AE198" s="117"/>
      <c r="AF198" s="117"/>
      <c r="AG198" s="117"/>
      <c r="AH198" s="117"/>
      <c r="AI198" s="117"/>
      <c r="AJ198" s="117"/>
      <c r="AK198" s="117"/>
      <c r="AL198" s="117"/>
      <c r="AM198" s="117"/>
      <c r="AN198" s="117"/>
      <c r="AO198" s="117"/>
      <c r="AP198" s="117"/>
      <c r="AQ198" s="117"/>
      <c r="AR198" s="300"/>
      <c r="AS198" s="300"/>
      <c r="AT198" s="86"/>
      <c r="AU198" s="162"/>
      <c r="AV198" s="162"/>
      <c r="AW198" s="162"/>
      <c r="AX198" s="162"/>
      <c r="AY198" s="162"/>
      <c r="BB198" s="45"/>
      <c r="BC198" s="45"/>
      <c r="BD198" s="117"/>
      <c r="BE198" s="117"/>
      <c r="BF198" s="99"/>
      <c r="BG198" s="99"/>
      <c r="BH198" s="74"/>
      <c r="BI198" s="117"/>
      <c r="BJ198" s="117"/>
      <c r="BK198" s="117"/>
      <c r="BL198" s="117"/>
      <c r="BM198" s="117"/>
      <c r="BN198" s="117"/>
      <c r="BO198" s="117"/>
      <c r="BP198" s="117"/>
      <c r="BQ198" s="117"/>
      <c r="BR198" s="117"/>
      <c r="BS198" s="117"/>
      <c r="BT198" s="117"/>
      <c r="BU198" s="117"/>
      <c r="BV198" s="117"/>
      <c r="BW198" s="117"/>
      <c r="BX198" s="102"/>
      <c r="BY198" s="102"/>
      <c r="CD198" s="102"/>
      <c r="CE198" s="102"/>
      <c r="CG198" s="86"/>
      <c r="CH198" s="86"/>
      <c r="CI198" s="86"/>
      <c r="CJ198" s="86"/>
      <c r="CL198" s="63"/>
      <c r="CM198" s="54"/>
      <c r="CN198" s="54"/>
      <c r="CO198" s="54"/>
      <c r="CP198" s="54"/>
      <c r="CQ198" s="86"/>
      <c r="CR198" s="63"/>
      <c r="CS198" s="63"/>
      <c r="CT198" s="63"/>
      <c r="CU198" s="63"/>
      <c r="CV198" s="86"/>
      <c r="CW198" s="86"/>
      <c r="CX198" s="86"/>
      <c r="DF198" s="54"/>
      <c r="DG198" s="54"/>
      <c r="DH198" s="63"/>
      <c r="DI198" s="63"/>
      <c r="DJ198" s="63"/>
      <c r="DK198" s="63"/>
      <c r="DL198" s="63"/>
      <c r="DN198" s="86"/>
      <c r="DO198" s="86"/>
      <c r="DP198" s="86"/>
      <c r="DR198" s="63"/>
      <c r="DW198" s="54"/>
      <c r="DX198" s="54"/>
      <c r="DY198" s="63"/>
      <c r="DZ198" s="63"/>
      <c r="EA198" s="63"/>
      <c r="EB198" s="63"/>
      <c r="EC198" s="63"/>
      <c r="EE198" s="86"/>
      <c r="EF198" s="86"/>
      <c r="EG198" s="86"/>
      <c r="EI198" s="63"/>
      <c r="EN198" s="54"/>
      <c r="EQ198" s="86"/>
      <c r="ER198" s="86"/>
      <c r="EX198" s="54"/>
      <c r="FG198" s="86"/>
      <c r="FL198" s="45"/>
      <c r="FT198" s="63"/>
      <c r="FU198" s="54"/>
      <c r="FV198" s="54"/>
      <c r="FW198" s="54"/>
      <c r="FX198" s="86"/>
      <c r="FY198" s="86"/>
      <c r="FZ198" s="102"/>
      <c r="GA198" s="86"/>
      <c r="GB198" s="86"/>
      <c r="GD198" s="63"/>
      <c r="GE198" s="63"/>
      <c r="GF198" s="63"/>
      <c r="GG198" s="63"/>
      <c r="GH198" s="45"/>
      <c r="GI198" s="54"/>
      <c r="GJ198" s="54"/>
      <c r="GL198" s="86"/>
      <c r="GM198" s="86"/>
      <c r="GR198" s="86"/>
      <c r="GS198" s="86"/>
      <c r="GU198" s="63"/>
      <c r="GV198" s="63"/>
      <c r="GW198" s="63"/>
      <c r="GX198" s="63"/>
      <c r="GZ198" s="63"/>
      <c r="HA198" s="54"/>
      <c r="HD198" s="86"/>
      <c r="HI198" s="86"/>
      <c r="HJ198" s="86"/>
      <c r="HQ198" s="63"/>
      <c r="HR198" s="54"/>
      <c r="HU198" s="86"/>
      <c r="HZ198" s="86"/>
      <c r="IA198" s="86"/>
      <c r="IF198" s="54"/>
      <c r="IK198" s="86"/>
    </row>
    <row r="199" spans="1:245">
      <c r="A199" s="86">
        <v>169</v>
      </c>
      <c r="B199" s="117"/>
      <c r="C199" s="117"/>
      <c r="D199" s="117"/>
      <c r="E199" s="117"/>
      <c r="K199" s="117"/>
      <c r="L199" s="45"/>
      <c r="M199" s="45"/>
      <c r="N199" s="45"/>
      <c r="O199" s="45"/>
      <c r="P199" s="45"/>
      <c r="Q199" s="45"/>
      <c r="R199" s="45"/>
      <c r="S199" s="117"/>
      <c r="T199" s="117"/>
      <c r="U199" s="74"/>
      <c r="V199" s="74"/>
      <c r="W199" s="74"/>
      <c r="X199" s="74"/>
      <c r="Y199" s="74"/>
      <c r="Z199" s="74"/>
      <c r="AA199" s="74"/>
      <c r="AB199" s="74"/>
      <c r="AC199" s="117"/>
      <c r="AD199" s="117"/>
      <c r="AE199" s="117"/>
      <c r="AF199" s="117"/>
      <c r="AG199" s="117"/>
      <c r="AH199" s="117"/>
      <c r="AI199" s="117"/>
      <c r="AJ199" s="117"/>
      <c r="AK199" s="117"/>
      <c r="AL199" s="117"/>
      <c r="AM199" s="117"/>
      <c r="AN199" s="117"/>
      <c r="AO199" s="117"/>
      <c r="AP199" s="117"/>
      <c r="AQ199" s="117"/>
      <c r="AR199" s="300"/>
      <c r="AS199" s="300"/>
      <c r="AT199" s="86"/>
      <c r="AU199" s="162"/>
      <c r="AV199" s="162"/>
      <c r="AW199" s="162"/>
      <c r="AX199" s="162"/>
      <c r="AY199" s="162"/>
      <c r="BB199" s="45"/>
      <c r="BC199" s="45"/>
      <c r="BD199" s="117"/>
      <c r="BE199" s="117"/>
      <c r="BF199" s="99"/>
      <c r="BG199" s="99"/>
      <c r="BH199" s="74"/>
      <c r="BI199" s="117"/>
      <c r="BJ199" s="117"/>
      <c r="BK199" s="117"/>
      <c r="BL199" s="117"/>
      <c r="BM199" s="117"/>
      <c r="BN199" s="117"/>
      <c r="BO199" s="117"/>
      <c r="BP199" s="117"/>
      <c r="BQ199" s="117"/>
      <c r="BR199" s="117"/>
      <c r="BS199" s="117"/>
      <c r="BT199" s="117"/>
      <c r="BU199" s="117"/>
      <c r="BV199" s="117"/>
      <c r="BW199" s="117"/>
      <c r="BX199" s="102"/>
      <c r="BY199" s="102"/>
      <c r="CD199" s="102"/>
      <c r="CE199" s="102"/>
      <c r="CG199" s="86"/>
      <c r="CH199" s="86"/>
      <c r="CI199" s="86"/>
      <c r="CJ199" s="86"/>
      <c r="CL199" s="63"/>
      <c r="CM199" s="54"/>
      <c r="CN199" s="54"/>
      <c r="CO199" s="54"/>
      <c r="CP199" s="54"/>
      <c r="CQ199" s="86"/>
      <c r="CR199" s="63"/>
      <c r="CS199" s="63"/>
      <c r="CT199" s="63"/>
      <c r="CU199" s="63"/>
      <c r="CV199" s="86"/>
      <c r="CW199" s="86"/>
      <c r="CX199" s="86"/>
      <c r="DF199" s="54"/>
      <c r="DG199" s="54"/>
      <c r="DH199" s="63"/>
      <c r="DI199" s="63"/>
      <c r="DJ199" s="63"/>
      <c r="DK199" s="63"/>
      <c r="DL199" s="63"/>
      <c r="DN199" s="86"/>
      <c r="DO199" s="86"/>
      <c r="DP199" s="86"/>
      <c r="DR199" s="63"/>
      <c r="DW199" s="54"/>
      <c r="DX199" s="54"/>
      <c r="DY199" s="63"/>
      <c r="DZ199" s="63"/>
      <c r="EA199" s="63"/>
      <c r="EB199" s="63"/>
      <c r="EC199" s="63"/>
      <c r="EE199" s="86"/>
      <c r="EF199" s="86"/>
      <c r="EG199" s="86"/>
      <c r="EI199" s="63"/>
      <c r="EN199" s="54"/>
      <c r="EQ199" s="86"/>
      <c r="ER199" s="86"/>
      <c r="EX199" s="54"/>
      <c r="FG199" s="86"/>
      <c r="FL199" s="45"/>
      <c r="FT199" s="63"/>
      <c r="FU199" s="54"/>
      <c r="FV199" s="54"/>
      <c r="FW199" s="54"/>
      <c r="FX199" s="86"/>
      <c r="FY199" s="86"/>
      <c r="FZ199" s="102"/>
      <c r="GA199" s="86"/>
      <c r="GB199" s="86"/>
      <c r="GD199" s="63"/>
      <c r="GE199" s="63"/>
      <c r="GF199" s="63"/>
      <c r="GG199" s="63"/>
      <c r="GH199" s="45"/>
      <c r="GI199" s="54"/>
      <c r="GJ199" s="54"/>
      <c r="GL199" s="86"/>
      <c r="GM199" s="86"/>
      <c r="GR199" s="86"/>
      <c r="GS199" s="86"/>
      <c r="GU199" s="63"/>
      <c r="GV199" s="63"/>
      <c r="GW199" s="63"/>
      <c r="GX199" s="63"/>
      <c r="GZ199" s="63"/>
      <c r="HA199" s="54"/>
      <c r="HD199" s="86"/>
      <c r="HI199" s="86"/>
      <c r="HJ199" s="86"/>
      <c r="HQ199" s="63"/>
      <c r="HR199" s="54"/>
      <c r="HU199" s="86"/>
      <c r="HZ199" s="86"/>
      <c r="IA199" s="86"/>
      <c r="IF199" s="54"/>
      <c r="IK199" s="86"/>
    </row>
    <row r="200" spans="1:245">
      <c r="A200" s="86">
        <v>170</v>
      </c>
      <c r="B200" s="117"/>
      <c r="C200" s="117"/>
      <c r="D200" s="117"/>
      <c r="E200" s="117"/>
      <c r="K200" s="117"/>
      <c r="L200" s="45"/>
      <c r="M200" s="45"/>
      <c r="N200" s="45"/>
      <c r="O200" s="45"/>
      <c r="P200" s="45"/>
      <c r="Q200" s="45"/>
      <c r="R200" s="45"/>
      <c r="S200" s="117"/>
      <c r="T200" s="117"/>
      <c r="U200" s="74"/>
      <c r="V200" s="74"/>
      <c r="W200" s="74"/>
      <c r="X200" s="74"/>
      <c r="Y200" s="74"/>
      <c r="Z200" s="74"/>
      <c r="AA200" s="74"/>
      <c r="AB200" s="74"/>
      <c r="AC200" s="117"/>
      <c r="AD200" s="117"/>
      <c r="AE200" s="117"/>
      <c r="AF200" s="117"/>
      <c r="AG200" s="117"/>
      <c r="AH200" s="117"/>
      <c r="AI200" s="117"/>
      <c r="AJ200" s="117"/>
      <c r="AK200" s="117"/>
      <c r="AL200" s="117"/>
      <c r="AM200" s="117"/>
      <c r="AN200" s="117"/>
      <c r="AO200" s="117"/>
      <c r="AP200" s="117"/>
      <c r="AQ200" s="117"/>
      <c r="AR200" s="300"/>
      <c r="AS200" s="300"/>
      <c r="AT200" s="86"/>
      <c r="AU200" s="162"/>
      <c r="AV200" s="162"/>
      <c r="AW200" s="162"/>
      <c r="AX200" s="162"/>
      <c r="AY200" s="162"/>
      <c r="BB200" s="45"/>
      <c r="BC200" s="45"/>
      <c r="BD200" s="117"/>
      <c r="BE200" s="117"/>
      <c r="BF200" s="99"/>
      <c r="BG200" s="99"/>
      <c r="BH200" s="74"/>
      <c r="BI200" s="117"/>
      <c r="BJ200" s="117"/>
      <c r="BK200" s="117"/>
      <c r="BL200" s="117"/>
      <c r="BM200" s="117"/>
      <c r="BN200" s="117"/>
      <c r="BO200" s="117"/>
      <c r="BP200" s="117"/>
      <c r="BQ200" s="117"/>
      <c r="BR200" s="117"/>
      <c r="BS200" s="117"/>
      <c r="BT200" s="117"/>
      <c r="BU200" s="117"/>
      <c r="BV200" s="117"/>
      <c r="BW200" s="117"/>
      <c r="BX200" s="102"/>
      <c r="BY200" s="102"/>
      <c r="CD200" s="102"/>
      <c r="CE200" s="102"/>
      <c r="CG200" s="86"/>
      <c r="CH200" s="86"/>
      <c r="CI200" s="86"/>
      <c r="CJ200" s="86"/>
      <c r="CL200" s="63"/>
      <c r="CM200" s="54"/>
      <c r="CN200" s="54"/>
      <c r="CO200" s="54"/>
      <c r="CP200" s="54"/>
      <c r="CQ200" s="86"/>
      <c r="CR200" s="63"/>
      <c r="CS200" s="63"/>
      <c r="CT200" s="63"/>
      <c r="CU200" s="63"/>
      <c r="CV200" s="86"/>
      <c r="CW200" s="86"/>
      <c r="CX200" s="86"/>
      <c r="DF200" s="54"/>
      <c r="DG200" s="54"/>
      <c r="DH200" s="63"/>
      <c r="DI200" s="63"/>
      <c r="DJ200" s="63"/>
      <c r="DK200" s="63"/>
      <c r="DL200" s="63"/>
      <c r="DN200" s="86"/>
      <c r="DO200" s="86"/>
      <c r="DP200" s="86"/>
      <c r="DR200" s="63"/>
      <c r="DW200" s="54"/>
      <c r="DX200" s="54"/>
      <c r="DY200" s="63"/>
      <c r="DZ200" s="63"/>
      <c r="EA200" s="63"/>
      <c r="EB200" s="63"/>
      <c r="EC200" s="63"/>
      <c r="EE200" s="86"/>
      <c r="EF200" s="86"/>
      <c r="EG200" s="86"/>
      <c r="EI200" s="63"/>
      <c r="EN200" s="54"/>
      <c r="EQ200" s="86"/>
      <c r="ER200" s="86"/>
      <c r="EX200" s="54"/>
      <c r="FG200" s="86"/>
      <c r="FL200" s="45"/>
      <c r="FT200" s="63"/>
      <c r="FU200" s="54"/>
      <c r="FV200" s="54"/>
      <c r="FW200" s="54"/>
      <c r="FX200" s="86"/>
      <c r="FY200" s="86"/>
      <c r="FZ200" s="102"/>
      <c r="GA200" s="86"/>
      <c r="GB200" s="86"/>
      <c r="GD200" s="63"/>
      <c r="GE200" s="63"/>
      <c r="GF200" s="63"/>
      <c r="GG200" s="63"/>
      <c r="GH200" s="45"/>
      <c r="GI200" s="54"/>
      <c r="GJ200" s="54"/>
      <c r="GL200" s="86"/>
      <c r="GM200" s="86"/>
      <c r="GR200" s="86"/>
      <c r="GS200" s="86"/>
      <c r="GU200" s="63"/>
      <c r="GV200" s="63"/>
      <c r="GW200" s="63"/>
      <c r="GX200" s="63"/>
      <c r="GZ200" s="63"/>
      <c r="HA200" s="54"/>
      <c r="HD200" s="86"/>
      <c r="HI200" s="86"/>
      <c r="HJ200" s="86"/>
      <c r="HQ200" s="63"/>
      <c r="HR200" s="54"/>
      <c r="HU200" s="86"/>
      <c r="HZ200" s="86"/>
      <c r="IA200" s="86"/>
      <c r="IF200" s="54"/>
      <c r="IK200" s="86"/>
    </row>
    <row r="201" spans="1:245">
      <c r="A201" s="86">
        <v>171</v>
      </c>
      <c r="B201" s="117"/>
      <c r="C201" s="117"/>
      <c r="D201" s="117"/>
      <c r="E201" s="117"/>
      <c r="K201" s="117"/>
      <c r="L201" s="45"/>
      <c r="M201" s="45"/>
      <c r="N201" s="45"/>
      <c r="O201" s="45"/>
      <c r="P201" s="45"/>
      <c r="Q201" s="45"/>
      <c r="R201" s="45"/>
      <c r="S201" s="117"/>
      <c r="T201" s="117"/>
      <c r="U201" s="74"/>
      <c r="V201" s="74"/>
      <c r="W201" s="74"/>
      <c r="X201" s="74"/>
      <c r="Y201" s="74"/>
      <c r="Z201" s="74"/>
      <c r="AA201" s="74"/>
      <c r="AB201" s="74"/>
      <c r="AC201" s="117"/>
      <c r="AD201" s="117"/>
      <c r="AE201" s="117"/>
      <c r="AF201" s="117"/>
      <c r="AG201" s="117"/>
      <c r="AH201" s="117"/>
      <c r="AI201" s="117"/>
      <c r="AJ201" s="117"/>
      <c r="AK201" s="117"/>
      <c r="AL201" s="117"/>
      <c r="AM201" s="117"/>
      <c r="AN201" s="117"/>
      <c r="AO201" s="117"/>
      <c r="AP201" s="117"/>
      <c r="AQ201" s="117"/>
      <c r="AR201" s="300"/>
      <c r="AS201" s="300"/>
      <c r="AT201" s="86"/>
      <c r="AU201" s="162"/>
      <c r="AV201" s="162"/>
      <c r="AW201" s="162"/>
      <c r="AX201" s="162"/>
      <c r="AY201" s="162"/>
      <c r="BB201" s="45"/>
      <c r="BC201" s="45"/>
      <c r="BD201" s="117"/>
      <c r="BE201" s="117"/>
      <c r="BF201" s="99"/>
      <c r="BG201" s="99"/>
      <c r="BH201" s="74"/>
      <c r="BI201" s="117"/>
      <c r="BJ201" s="117"/>
      <c r="BK201" s="117"/>
      <c r="BL201" s="117"/>
      <c r="BM201" s="117"/>
      <c r="BN201" s="117"/>
      <c r="BO201" s="117"/>
      <c r="BP201" s="117"/>
      <c r="BQ201" s="117"/>
      <c r="BR201" s="117"/>
      <c r="BS201" s="117"/>
      <c r="BT201" s="117"/>
      <c r="BU201" s="117"/>
      <c r="BV201" s="117"/>
      <c r="BW201" s="117"/>
      <c r="BX201" s="102"/>
      <c r="BY201" s="102"/>
      <c r="CD201" s="102"/>
      <c r="CE201" s="102"/>
      <c r="CG201" s="86"/>
      <c r="CH201" s="86"/>
      <c r="CI201" s="86"/>
      <c r="CJ201" s="86"/>
      <c r="CL201" s="63"/>
      <c r="CM201" s="54"/>
      <c r="CN201" s="54"/>
      <c r="CO201" s="54"/>
      <c r="CP201" s="54"/>
      <c r="CQ201" s="86"/>
      <c r="CR201" s="63"/>
      <c r="CS201" s="63"/>
      <c r="CT201" s="63"/>
      <c r="CU201" s="63"/>
      <c r="CV201" s="86"/>
      <c r="CW201" s="86"/>
      <c r="CX201" s="86"/>
      <c r="DF201" s="54"/>
      <c r="DG201" s="54"/>
      <c r="DH201" s="63"/>
      <c r="DI201" s="63"/>
      <c r="DJ201" s="63"/>
      <c r="DK201" s="63"/>
      <c r="DL201" s="63"/>
      <c r="DN201" s="86"/>
      <c r="DO201" s="86"/>
      <c r="DP201" s="86"/>
      <c r="DR201" s="63"/>
      <c r="DW201" s="54"/>
      <c r="DX201" s="54"/>
      <c r="DY201" s="63"/>
      <c r="DZ201" s="63"/>
      <c r="EA201" s="63"/>
      <c r="EB201" s="63"/>
      <c r="EC201" s="63"/>
      <c r="EE201" s="86"/>
      <c r="EF201" s="86"/>
      <c r="EG201" s="86"/>
      <c r="EI201" s="63"/>
      <c r="EN201" s="54"/>
      <c r="EQ201" s="86"/>
      <c r="ER201" s="86"/>
      <c r="EX201" s="54"/>
      <c r="FG201" s="86"/>
      <c r="FL201" s="45"/>
      <c r="FT201" s="63"/>
      <c r="FU201" s="54"/>
      <c r="FV201" s="54"/>
      <c r="FW201" s="54"/>
      <c r="FX201" s="86"/>
      <c r="FY201" s="86"/>
      <c r="FZ201" s="102"/>
      <c r="GA201" s="86"/>
      <c r="GB201" s="86"/>
      <c r="GD201" s="63"/>
      <c r="GE201" s="63"/>
      <c r="GF201" s="63"/>
      <c r="GG201" s="63"/>
      <c r="GH201" s="45"/>
      <c r="GI201" s="54"/>
      <c r="GJ201" s="54"/>
      <c r="GL201" s="86"/>
      <c r="GM201" s="86"/>
      <c r="GR201" s="86"/>
      <c r="GS201" s="86"/>
      <c r="GU201" s="63"/>
      <c r="GV201" s="63"/>
      <c r="GW201" s="63"/>
      <c r="GX201" s="63"/>
      <c r="GZ201" s="63"/>
      <c r="HA201" s="54"/>
      <c r="HD201" s="86"/>
      <c r="HI201" s="86"/>
      <c r="HJ201" s="86"/>
      <c r="HQ201" s="63"/>
      <c r="HR201" s="54"/>
      <c r="HU201" s="86"/>
      <c r="HZ201" s="86"/>
      <c r="IA201" s="86"/>
      <c r="IF201" s="54"/>
      <c r="IK201" s="86"/>
    </row>
    <row r="202" spans="1:245">
      <c r="A202" s="86">
        <v>172</v>
      </c>
      <c r="B202" s="117"/>
      <c r="C202" s="117"/>
      <c r="D202" s="117"/>
      <c r="E202" s="117"/>
      <c r="K202" s="117"/>
      <c r="L202" s="45"/>
      <c r="M202" s="45"/>
      <c r="N202" s="45"/>
      <c r="O202" s="45"/>
      <c r="P202" s="45"/>
      <c r="Q202" s="45"/>
      <c r="R202" s="45"/>
      <c r="S202" s="117"/>
      <c r="T202" s="117"/>
      <c r="U202" s="74"/>
      <c r="V202" s="74"/>
      <c r="W202" s="74"/>
      <c r="X202" s="74"/>
      <c r="Y202" s="74"/>
      <c r="Z202" s="74"/>
      <c r="AA202" s="74"/>
      <c r="AB202" s="74"/>
      <c r="AC202" s="117"/>
      <c r="AD202" s="117"/>
      <c r="AE202" s="117"/>
      <c r="AF202" s="117"/>
      <c r="AG202" s="117"/>
      <c r="AH202" s="117"/>
      <c r="AI202" s="117"/>
      <c r="AJ202" s="117"/>
      <c r="AK202" s="117"/>
      <c r="AL202" s="117"/>
      <c r="AM202" s="117"/>
      <c r="AN202" s="117"/>
      <c r="AO202" s="117"/>
      <c r="AP202" s="117"/>
      <c r="AQ202" s="117"/>
      <c r="AR202" s="300"/>
      <c r="AS202" s="300"/>
      <c r="AT202" s="86"/>
      <c r="AU202" s="162"/>
      <c r="AV202" s="162"/>
      <c r="AW202" s="162"/>
      <c r="AX202" s="162"/>
      <c r="AY202" s="162"/>
      <c r="BB202" s="45"/>
      <c r="BC202" s="45"/>
      <c r="BD202" s="117"/>
      <c r="BE202" s="117"/>
      <c r="BF202" s="99"/>
      <c r="BG202" s="99"/>
      <c r="BH202" s="74"/>
      <c r="BI202" s="117"/>
      <c r="BJ202" s="117"/>
      <c r="BK202" s="117"/>
      <c r="BL202" s="117"/>
      <c r="BM202" s="117"/>
      <c r="BN202" s="117"/>
      <c r="BO202" s="117"/>
      <c r="BP202" s="117"/>
      <c r="BQ202" s="117"/>
      <c r="BR202" s="117"/>
      <c r="BS202" s="117"/>
      <c r="BT202" s="117"/>
      <c r="BU202" s="117"/>
      <c r="BV202" s="117"/>
      <c r="BW202" s="117"/>
      <c r="BX202" s="102"/>
      <c r="BY202" s="102"/>
      <c r="CD202" s="102"/>
      <c r="CE202" s="102"/>
      <c r="CG202" s="86"/>
      <c r="CH202" s="86"/>
      <c r="CI202" s="86"/>
      <c r="CJ202" s="86"/>
      <c r="CL202" s="63"/>
      <c r="CM202" s="54"/>
      <c r="CN202" s="54"/>
      <c r="CO202" s="54"/>
      <c r="CP202" s="54"/>
      <c r="CQ202" s="86"/>
      <c r="CR202" s="63"/>
      <c r="CS202" s="63"/>
      <c r="CT202" s="63"/>
      <c r="CU202" s="63"/>
      <c r="CV202" s="86"/>
      <c r="CW202" s="86"/>
      <c r="CX202" s="86"/>
      <c r="DF202" s="54"/>
      <c r="DG202" s="54"/>
      <c r="DH202" s="63"/>
      <c r="DI202" s="63"/>
      <c r="DJ202" s="63"/>
      <c r="DK202" s="63"/>
      <c r="DL202" s="63"/>
      <c r="DN202" s="86"/>
      <c r="DO202" s="86"/>
      <c r="DP202" s="86"/>
      <c r="DR202" s="63"/>
      <c r="DW202" s="54"/>
      <c r="DX202" s="54"/>
      <c r="DY202" s="63"/>
      <c r="DZ202" s="63"/>
      <c r="EA202" s="63"/>
      <c r="EB202" s="63"/>
      <c r="EC202" s="63"/>
      <c r="EE202" s="86"/>
      <c r="EF202" s="86"/>
      <c r="EG202" s="86"/>
      <c r="EI202" s="63"/>
      <c r="EN202" s="54"/>
      <c r="EQ202" s="86"/>
      <c r="ER202" s="86"/>
      <c r="EX202" s="54"/>
      <c r="FG202" s="86"/>
      <c r="FL202" s="45"/>
      <c r="FT202" s="63"/>
      <c r="FU202" s="54"/>
      <c r="FV202" s="54"/>
      <c r="FW202" s="54"/>
      <c r="FX202" s="86"/>
      <c r="FY202" s="86"/>
      <c r="FZ202" s="102"/>
      <c r="GA202" s="86"/>
      <c r="GB202" s="86"/>
      <c r="GD202" s="63"/>
      <c r="GE202" s="63"/>
      <c r="GF202" s="63"/>
      <c r="GG202" s="63"/>
      <c r="GH202" s="45"/>
      <c r="GI202" s="54"/>
      <c r="GJ202" s="54"/>
      <c r="GL202" s="86"/>
      <c r="GM202" s="86"/>
      <c r="GR202" s="86"/>
      <c r="GS202" s="86"/>
      <c r="GU202" s="63"/>
      <c r="GV202" s="63"/>
      <c r="GW202" s="63"/>
      <c r="GX202" s="63"/>
      <c r="GZ202" s="63"/>
      <c r="HA202" s="54"/>
      <c r="HD202" s="86"/>
      <c r="HI202" s="86"/>
      <c r="HJ202" s="86"/>
      <c r="HQ202" s="63"/>
      <c r="HR202" s="54"/>
      <c r="HU202" s="86"/>
      <c r="HZ202" s="86"/>
      <c r="IA202" s="86"/>
      <c r="IF202" s="54"/>
      <c r="IK202" s="86"/>
    </row>
    <row r="203" spans="1:245">
      <c r="A203" s="86">
        <v>173</v>
      </c>
      <c r="B203" s="117"/>
      <c r="C203" s="117"/>
      <c r="D203" s="117"/>
      <c r="E203" s="117"/>
      <c r="K203" s="117"/>
      <c r="L203" s="45"/>
      <c r="M203" s="45"/>
      <c r="N203" s="45"/>
      <c r="O203" s="45"/>
      <c r="P203" s="45"/>
      <c r="Q203" s="45"/>
      <c r="R203" s="45"/>
      <c r="S203" s="117"/>
      <c r="T203" s="117"/>
      <c r="U203" s="74"/>
      <c r="V203" s="74"/>
      <c r="W203" s="74"/>
      <c r="X203" s="74"/>
      <c r="Y203" s="74"/>
      <c r="Z203" s="74"/>
      <c r="AA203" s="74"/>
      <c r="AB203" s="74"/>
      <c r="AC203" s="117"/>
      <c r="AD203" s="117"/>
      <c r="AE203" s="117"/>
      <c r="AF203" s="117"/>
      <c r="AG203" s="117"/>
      <c r="AH203" s="117"/>
      <c r="AI203" s="117"/>
      <c r="AJ203" s="117"/>
      <c r="AK203" s="117"/>
      <c r="AL203" s="117"/>
      <c r="AM203" s="117"/>
      <c r="AN203" s="117"/>
      <c r="AO203" s="117"/>
      <c r="AP203" s="117"/>
      <c r="AQ203" s="117"/>
      <c r="AR203" s="300"/>
      <c r="AS203" s="300"/>
      <c r="AT203" s="86"/>
      <c r="AU203" s="162"/>
      <c r="AV203" s="162"/>
      <c r="AW203" s="162"/>
      <c r="AX203" s="162"/>
      <c r="AY203" s="162"/>
      <c r="BB203" s="45"/>
      <c r="BC203" s="45"/>
      <c r="BD203" s="117"/>
      <c r="BE203" s="117"/>
      <c r="BF203" s="99"/>
      <c r="BG203" s="99"/>
      <c r="BH203" s="74"/>
      <c r="BI203" s="117"/>
      <c r="BJ203" s="117"/>
      <c r="BK203" s="117"/>
      <c r="BL203" s="117"/>
      <c r="BM203" s="117"/>
      <c r="BN203" s="117"/>
      <c r="BO203" s="117"/>
      <c r="BP203" s="117"/>
      <c r="BQ203" s="117"/>
      <c r="BR203" s="117"/>
      <c r="BS203" s="117"/>
      <c r="BT203" s="117"/>
      <c r="BU203" s="117"/>
      <c r="BV203" s="117"/>
      <c r="BW203" s="117"/>
      <c r="BX203" s="102"/>
      <c r="BY203" s="102"/>
      <c r="CD203" s="102"/>
      <c r="CE203" s="102"/>
      <c r="CG203" s="86"/>
      <c r="CH203" s="86"/>
      <c r="CI203" s="86"/>
      <c r="CJ203" s="86"/>
      <c r="CL203" s="63"/>
      <c r="CM203" s="54"/>
      <c r="CN203" s="54"/>
      <c r="CO203" s="54"/>
      <c r="CP203" s="54"/>
      <c r="CQ203" s="86"/>
      <c r="CR203" s="63"/>
      <c r="CS203" s="63"/>
      <c r="CT203" s="63"/>
      <c r="CU203" s="63"/>
      <c r="CV203" s="86"/>
      <c r="CW203" s="86"/>
      <c r="CX203" s="86"/>
      <c r="DF203" s="54"/>
      <c r="DG203" s="54"/>
      <c r="DH203" s="63"/>
      <c r="DI203" s="63"/>
      <c r="DJ203" s="63"/>
      <c r="DK203" s="63"/>
      <c r="DL203" s="63"/>
      <c r="DN203" s="86"/>
      <c r="DO203" s="86"/>
      <c r="DP203" s="86"/>
      <c r="DR203" s="63"/>
      <c r="DW203" s="54"/>
      <c r="DX203" s="54"/>
      <c r="DY203" s="63"/>
      <c r="DZ203" s="63"/>
      <c r="EA203" s="63"/>
      <c r="EB203" s="63"/>
      <c r="EC203" s="63"/>
      <c r="EE203" s="86"/>
      <c r="EF203" s="86"/>
      <c r="EG203" s="86"/>
      <c r="EI203" s="63"/>
      <c r="EN203" s="54"/>
      <c r="EQ203" s="86"/>
      <c r="ER203" s="86"/>
      <c r="EX203" s="54"/>
      <c r="FG203" s="86"/>
      <c r="FL203" s="45"/>
      <c r="FT203" s="63"/>
      <c r="FU203" s="54"/>
      <c r="FV203" s="54"/>
      <c r="FW203" s="54"/>
      <c r="FX203" s="86"/>
      <c r="FY203" s="86"/>
      <c r="FZ203" s="102"/>
      <c r="GA203" s="86"/>
      <c r="GB203" s="86"/>
      <c r="GD203" s="63"/>
      <c r="GE203" s="63"/>
      <c r="GF203" s="63"/>
      <c r="GG203" s="63"/>
      <c r="GH203" s="45"/>
      <c r="GI203" s="54"/>
      <c r="GJ203" s="54"/>
      <c r="GL203" s="86"/>
      <c r="GM203" s="86"/>
      <c r="GR203" s="86"/>
      <c r="GS203" s="86"/>
      <c r="GU203" s="63"/>
      <c r="GV203" s="63"/>
      <c r="GW203" s="63"/>
      <c r="GX203" s="63"/>
      <c r="GZ203" s="63"/>
      <c r="HA203" s="54"/>
      <c r="HD203" s="86"/>
      <c r="HI203" s="86"/>
      <c r="HJ203" s="86"/>
      <c r="HQ203" s="63"/>
      <c r="HR203" s="54"/>
      <c r="HU203" s="86"/>
      <c r="HZ203" s="86"/>
      <c r="IA203" s="86"/>
      <c r="IF203" s="54"/>
      <c r="IK203" s="86"/>
    </row>
    <row r="204" spans="1:245">
      <c r="A204" s="86">
        <v>174</v>
      </c>
      <c r="B204" s="117"/>
      <c r="C204" s="117"/>
      <c r="D204" s="117"/>
      <c r="E204" s="117"/>
      <c r="K204" s="117"/>
      <c r="L204" s="45"/>
      <c r="M204" s="45"/>
      <c r="N204" s="45"/>
      <c r="O204" s="45"/>
      <c r="P204" s="45"/>
      <c r="Q204" s="45"/>
      <c r="R204" s="45"/>
      <c r="S204" s="117"/>
      <c r="T204" s="117"/>
      <c r="U204" s="74"/>
      <c r="V204" s="74"/>
      <c r="W204" s="74"/>
      <c r="X204" s="74"/>
      <c r="Y204" s="74"/>
      <c r="Z204" s="74"/>
      <c r="AA204" s="74"/>
      <c r="AB204" s="74"/>
      <c r="AC204" s="117"/>
      <c r="AD204" s="117"/>
      <c r="AE204" s="117"/>
      <c r="AF204" s="117"/>
      <c r="AG204" s="117"/>
      <c r="AH204" s="117"/>
      <c r="AI204" s="117"/>
      <c r="AJ204" s="117"/>
      <c r="AK204" s="117"/>
      <c r="AL204" s="117"/>
      <c r="AM204" s="117"/>
      <c r="AN204" s="117"/>
      <c r="AO204" s="117"/>
      <c r="AP204" s="117"/>
      <c r="AQ204" s="117"/>
      <c r="AR204" s="300"/>
      <c r="AS204" s="300"/>
      <c r="AT204" s="86"/>
      <c r="AU204" s="162"/>
      <c r="AV204" s="162"/>
      <c r="AW204" s="162"/>
      <c r="AX204" s="162"/>
      <c r="AY204" s="162"/>
      <c r="BB204" s="45"/>
      <c r="BC204" s="45"/>
      <c r="BD204" s="117"/>
      <c r="BE204" s="117"/>
      <c r="BF204" s="99"/>
      <c r="BG204" s="99"/>
      <c r="BH204" s="74"/>
      <c r="BI204" s="117"/>
      <c r="BJ204" s="117"/>
      <c r="BK204" s="117"/>
      <c r="BL204" s="117"/>
      <c r="BM204" s="117"/>
      <c r="BN204" s="117"/>
      <c r="BO204" s="117"/>
      <c r="BP204" s="117"/>
      <c r="BQ204" s="117"/>
      <c r="BR204" s="117"/>
      <c r="BS204" s="117"/>
      <c r="BT204" s="117"/>
      <c r="BU204" s="117"/>
      <c r="BV204" s="117"/>
      <c r="BW204" s="117"/>
      <c r="BX204" s="102"/>
      <c r="BY204" s="102"/>
      <c r="CD204" s="102"/>
      <c r="CE204" s="102"/>
      <c r="CG204" s="86"/>
      <c r="CH204" s="86"/>
      <c r="CI204" s="86"/>
      <c r="CJ204" s="86"/>
      <c r="CL204" s="63"/>
      <c r="CM204" s="54"/>
      <c r="CN204" s="54"/>
      <c r="CO204" s="54"/>
      <c r="CP204" s="54"/>
      <c r="CQ204" s="86"/>
      <c r="CR204" s="63"/>
      <c r="CS204" s="63"/>
      <c r="CT204" s="63"/>
      <c r="CU204" s="63"/>
      <c r="CV204" s="86"/>
      <c r="CW204" s="86"/>
      <c r="CX204" s="86"/>
      <c r="DF204" s="54"/>
      <c r="DG204" s="54"/>
      <c r="DH204" s="63"/>
      <c r="DI204" s="63"/>
      <c r="DJ204" s="63"/>
      <c r="DK204" s="63"/>
      <c r="DL204" s="63"/>
      <c r="DN204" s="86"/>
      <c r="DO204" s="86"/>
      <c r="DP204" s="86"/>
      <c r="DR204" s="63"/>
      <c r="DW204" s="54"/>
      <c r="DX204" s="54"/>
      <c r="DY204" s="63"/>
      <c r="DZ204" s="63"/>
      <c r="EA204" s="63"/>
      <c r="EB204" s="63"/>
      <c r="EC204" s="63"/>
      <c r="EE204" s="86"/>
      <c r="EF204" s="86"/>
      <c r="EG204" s="86"/>
      <c r="EI204" s="63"/>
      <c r="EN204" s="54"/>
      <c r="EQ204" s="86"/>
      <c r="ER204" s="86"/>
      <c r="EX204" s="54"/>
      <c r="FG204" s="86"/>
      <c r="FL204" s="45"/>
      <c r="FT204" s="63"/>
      <c r="FU204" s="54"/>
      <c r="FV204" s="54"/>
      <c r="FW204" s="54"/>
      <c r="FX204" s="86"/>
      <c r="FY204" s="86"/>
      <c r="FZ204" s="102"/>
      <c r="GA204" s="86"/>
      <c r="GB204" s="86"/>
      <c r="GD204" s="63"/>
      <c r="GE204" s="63"/>
      <c r="GF204" s="63"/>
      <c r="GG204" s="63"/>
      <c r="GH204" s="45"/>
      <c r="GI204" s="54"/>
      <c r="GJ204" s="54"/>
      <c r="GL204" s="86"/>
      <c r="GM204" s="86"/>
      <c r="GR204" s="86"/>
      <c r="GS204" s="86"/>
      <c r="GU204" s="63"/>
      <c r="GV204" s="63"/>
      <c r="GW204" s="63"/>
      <c r="GX204" s="63"/>
      <c r="GZ204" s="63"/>
      <c r="HA204" s="54"/>
      <c r="HD204" s="86"/>
      <c r="HI204" s="86"/>
      <c r="HJ204" s="86"/>
      <c r="HQ204" s="63"/>
      <c r="HR204" s="54"/>
      <c r="HU204" s="86"/>
      <c r="HZ204" s="86"/>
      <c r="IA204" s="86"/>
      <c r="IF204" s="54"/>
      <c r="IK204" s="86"/>
    </row>
    <row r="205" spans="1:245">
      <c r="A205" s="86">
        <v>175</v>
      </c>
      <c r="B205" s="117"/>
      <c r="C205" s="117"/>
      <c r="D205" s="117"/>
      <c r="E205" s="117"/>
      <c r="K205" s="117"/>
      <c r="L205" s="45"/>
      <c r="M205" s="45"/>
      <c r="N205" s="45"/>
      <c r="O205" s="45"/>
      <c r="P205" s="45"/>
      <c r="Q205" s="45"/>
      <c r="R205" s="45"/>
      <c r="S205" s="117"/>
      <c r="T205" s="117"/>
      <c r="U205" s="74"/>
      <c r="V205" s="74"/>
      <c r="W205" s="74"/>
      <c r="X205" s="74"/>
      <c r="Y205" s="74"/>
      <c r="Z205" s="74"/>
      <c r="AA205" s="74"/>
      <c r="AB205" s="74"/>
      <c r="AC205" s="117"/>
      <c r="AD205" s="117"/>
      <c r="AE205" s="117"/>
      <c r="AF205" s="117"/>
      <c r="AG205" s="117"/>
      <c r="AH205" s="117"/>
      <c r="AI205" s="117"/>
      <c r="AJ205" s="117"/>
      <c r="AK205" s="117"/>
      <c r="AL205" s="117"/>
      <c r="AM205" s="117"/>
      <c r="AN205" s="117"/>
      <c r="AO205" s="117"/>
      <c r="AP205" s="117"/>
      <c r="AQ205" s="117"/>
      <c r="AR205" s="300"/>
      <c r="AS205" s="300"/>
      <c r="AT205" s="86"/>
      <c r="AU205" s="162"/>
      <c r="AV205" s="162"/>
      <c r="AW205" s="162"/>
      <c r="AX205" s="162"/>
      <c r="AY205" s="162"/>
      <c r="BB205" s="45"/>
      <c r="BC205" s="45"/>
      <c r="BD205" s="117"/>
      <c r="BE205" s="117"/>
      <c r="BF205" s="99"/>
      <c r="BG205" s="99"/>
      <c r="BH205" s="74"/>
      <c r="BI205" s="117"/>
      <c r="BJ205" s="117"/>
      <c r="BK205" s="117"/>
      <c r="BL205" s="117"/>
      <c r="BM205" s="117"/>
      <c r="BN205" s="117"/>
      <c r="BO205" s="117"/>
      <c r="BP205" s="117"/>
      <c r="BQ205" s="117"/>
      <c r="BR205" s="117"/>
      <c r="BS205" s="117"/>
      <c r="BT205" s="117"/>
      <c r="BU205" s="117"/>
      <c r="BV205" s="117"/>
      <c r="BW205" s="117"/>
      <c r="BX205" s="102"/>
      <c r="BY205" s="102"/>
      <c r="CD205" s="102"/>
      <c r="CE205" s="102"/>
      <c r="CG205" s="86"/>
      <c r="CH205" s="86"/>
      <c r="CI205" s="86"/>
      <c r="CJ205" s="86"/>
      <c r="CL205" s="63"/>
      <c r="CM205" s="54"/>
      <c r="CN205" s="54"/>
      <c r="CO205" s="54"/>
      <c r="CP205" s="54"/>
      <c r="CQ205" s="86"/>
      <c r="CR205" s="63"/>
      <c r="CS205" s="63"/>
      <c r="CT205" s="63"/>
      <c r="CU205" s="63"/>
      <c r="CV205" s="86"/>
      <c r="CW205" s="86"/>
      <c r="CX205" s="86"/>
      <c r="DF205" s="54"/>
      <c r="DG205" s="54"/>
      <c r="DH205" s="63"/>
      <c r="DI205" s="63"/>
      <c r="DJ205" s="63"/>
      <c r="DK205" s="63"/>
      <c r="DL205" s="63"/>
      <c r="DN205" s="86"/>
      <c r="DO205" s="86"/>
      <c r="DP205" s="86"/>
      <c r="DR205" s="63"/>
      <c r="DW205" s="54"/>
      <c r="DX205" s="54"/>
      <c r="DY205" s="63"/>
      <c r="DZ205" s="63"/>
      <c r="EA205" s="63"/>
      <c r="EB205" s="63"/>
      <c r="EC205" s="63"/>
      <c r="EE205" s="86"/>
      <c r="EF205" s="86"/>
      <c r="EG205" s="86"/>
      <c r="EI205" s="63"/>
      <c r="EN205" s="54"/>
      <c r="EQ205" s="86"/>
      <c r="ER205" s="86"/>
      <c r="EX205" s="54"/>
      <c r="FG205" s="86"/>
      <c r="FL205" s="45"/>
      <c r="FT205" s="63"/>
      <c r="FU205" s="54"/>
      <c r="FV205" s="54"/>
      <c r="FW205" s="54"/>
      <c r="FX205" s="86"/>
      <c r="FY205" s="86"/>
      <c r="FZ205" s="102"/>
      <c r="GA205" s="86"/>
      <c r="GB205" s="86"/>
      <c r="GD205" s="63"/>
      <c r="GE205" s="63"/>
      <c r="GF205" s="63"/>
      <c r="GG205" s="63"/>
      <c r="GH205" s="45"/>
      <c r="GI205" s="54"/>
      <c r="GJ205" s="54"/>
      <c r="GL205" s="86"/>
      <c r="GM205" s="86"/>
      <c r="GR205" s="86"/>
      <c r="GS205" s="86"/>
      <c r="GU205" s="63"/>
      <c r="GV205" s="63"/>
      <c r="GW205" s="63"/>
      <c r="GX205" s="63"/>
      <c r="GZ205" s="63"/>
      <c r="HA205" s="54"/>
      <c r="HD205" s="86"/>
      <c r="HI205" s="86"/>
      <c r="HJ205" s="86"/>
      <c r="HQ205" s="63"/>
      <c r="HR205" s="54"/>
      <c r="HU205" s="86"/>
      <c r="HZ205" s="86"/>
      <c r="IA205" s="86"/>
      <c r="IF205" s="54"/>
      <c r="IK205" s="86"/>
    </row>
    <row r="206" spans="1:245">
      <c r="A206" s="86">
        <v>176</v>
      </c>
      <c r="B206" s="117"/>
      <c r="C206" s="117"/>
      <c r="D206" s="117"/>
      <c r="E206" s="117"/>
      <c r="K206" s="117"/>
      <c r="L206" s="45"/>
      <c r="M206" s="45"/>
      <c r="N206" s="45"/>
      <c r="O206" s="45"/>
      <c r="P206" s="45"/>
      <c r="Q206" s="45"/>
      <c r="R206" s="45"/>
      <c r="S206" s="117"/>
      <c r="T206" s="117"/>
      <c r="U206" s="74"/>
      <c r="V206" s="74"/>
      <c r="W206" s="74"/>
      <c r="X206" s="74"/>
      <c r="Y206" s="74"/>
      <c r="Z206" s="74"/>
      <c r="AA206" s="74"/>
      <c r="AB206" s="74"/>
      <c r="AC206" s="117"/>
      <c r="AD206" s="117"/>
      <c r="AE206" s="117"/>
      <c r="AF206" s="117"/>
      <c r="AG206" s="117"/>
      <c r="AH206" s="117"/>
      <c r="AI206" s="117"/>
      <c r="AJ206" s="117"/>
      <c r="AK206" s="117"/>
      <c r="AL206" s="117"/>
      <c r="AM206" s="117"/>
      <c r="AN206" s="117"/>
      <c r="AO206" s="117"/>
      <c r="AP206" s="117"/>
      <c r="AQ206" s="117"/>
      <c r="AR206" s="300"/>
      <c r="AS206" s="300"/>
      <c r="AT206" s="86"/>
      <c r="AU206" s="162"/>
      <c r="AV206" s="162"/>
      <c r="AW206" s="162"/>
      <c r="AX206" s="162"/>
      <c r="AY206" s="162"/>
      <c r="BB206" s="45"/>
      <c r="BC206" s="45"/>
      <c r="BD206" s="117"/>
      <c r="BE206" s="117"/>
      <c r="BF206" s="99"/>
      <c r="BG206" s="99"/>
      <c r="BH206" s="74"/>
      <c r="BI206" s="117"/>
      <c r="BJ206" s="117"/>
      <c r="BK206" s="117"/>
      <c r="BL206" s="117"/>
      <c r="BM206" s="117"/>
      <c r="BN206" s="117"/>
      <c r="BO206" s="117"/>
      <c r="BP206" s="117"/>
      <c r="BQ206" s="117"/>
      <c r="BR206" s="117"/>
      <c r="BS206" s="117"/>
      <c r="BT206" s="117"/>
      <c r="BU206" s="117"/>
      <c r="BV206" s="117"/>
      <c r="BW206" s="117"/>
      <c r="BX206" s="102"/>
      <c r="BY206" s="102"/>
      <c r="CD206" s="102"/>
      <c r="CE206" s="102"/>
      <c r="CG206" s="86"/>
      <c r="CH206" s="86"/>
      <c r="CI206" s="86"/>
      <c r="CJ206" s="86"/>
      <c r="CL206" s="63"/>
      <c r="CM206" s="54"/>
      <c r="CN206" s="54"/>
      <c r="CO206" s="54"/>
      <c r="CP206" s="54"/>
      <c r="CQ206" s="86"/>
      <c r="CR206" s="63"/>
      <c r="CS206" s="63"/>
      <c r="CT206" s="63"/>
      <c r="CU206" s="63"/>
      <c r="CV206" s="86"/>
      <c r="CW206" s="86"/>
      <c r="CX206" s="86"/>
      <c r="DF206" s="54"/>
      <c r="DG206" s="54"/>
      <c r="DH206" s="63"/>
      <c r="DI206" s="63"/>
      <c r="DJ206" s="63"/>
      <c r="DK206" s="63"/>
      <c r="DL206" s="63"/>
      <c r="DN206" s="86"/>
      <c r="DO206" s="86"/>
      <c r="DP206" s="86"/>
      <c r="DR206" s="63"/>
      <c r="DW206" s="54"/>
      <c r="DX206" s="54"/>
      <c r="DY206" s="63"/>
      <c r="DZ206" s="63"/>
      <c r="EA206" s="63"/>
      <c r="EB206" s="63"/>
      <c r="EC206" s="63"/>
      <c r="EE206" s="86"/>
      <c r="EF206" s="86"/>
      <c r="EG206" s="86"/>
      <c r="EI206" s="63"/>
      <c r="EN206" s="54"/>
      <c r="EQ206" s="86"/>
      <c r="ER206" s="86"/>
      <c r="EX206" s="54"/>
      <c r="FG206" s="86"/>
      <c r="FL206" s="45"/>
      <c r="FT206" s="63"/>
      <c r="FU206" s="54"/>
      <c r="FV206" s="54"/>
      <c r="FW206" s="54"/>
      <c r="FX206" s="86"/>
      <c r="FY206" s="86"/>
      <c r="FZ206" s="102"/>
      <c r="GA206" s="86"/>
      <c r="GB206" s="86"/>
      <c r="GD206" s="63"/>
      <c r="GE206" s="63"/>
      <c r="GF206" s="63"/>
      <c r="GG206" s="63"/>
      <c r="GH206" s="45"/>
      <c r="GI206" s="54"/>
      <c r="GJ206" s="54"/>
      <c r="GL206" s="86"/>
      <c r="GM206" s="86"/>
      <c r="GR206" s="86"/>
      <c r="GS206" s="86"/>
      <c r="GU206" s="63"/>
      <c r="GV206" s="63"/>
      <c r="GW206" s="63"/>
      <c r="GX206" s="63"/>
      <c r="GZ206" s="63"/>
      <c r="HA206" s="54"/>
      <c r="HD206" s="86"/>
      <c r="HI206" s="86"/>
      <c r="HJ206" s="86"/>
      <c r="HQ206" s="63"/>
      <c r="HR206" s="54"/>
      <c r="HU206" s="86"/>
      <c r="HZ206" s="86"/>
      <c r="IA206" s="86"/>
      <c r="IF206" s="54"/>
      <c r="IK206" s="86"/>
    </row>
    <row r="207" spans="1:245">
      <c r="A207" s="86">
        <v>177</v>
      </c>
      <c r="B207" s="117"/>
      <c r="C207" s="117"/>
      <c r="D207" s="117"/>
      <c r="E207" s="117"/>
      <c r="K207" s="117"/>
      <c r="L207" s="45"/>
      <c r="M207" s="45"/>
      <c r="N207" s="45"/>
      <c r="O207" s="45"/>
      <c r="P207" s="45"/>
      <c r="Q207" s="45"/>
      <c r="R207" s="45"/>
      <c r="S207" s="117"/>
      <c r="T207" s="117"/>
      <c r="U207" s="74"/>
      <c r="V207" s="74"/>
      <c r="W207" s="74"/>
      <c r="X207" s="74"/>
      <c r="Y207" s="74"/>
      <c r="Z207" s="74"/>
      <c r="AA207" s="74"/>
      <c r="AB207" s="74"/>
      <c r="AC207" s="117"/>
      <c r="AD207" s="117"/>
      <c r="AE207" s="117"/>
      <c r="AF207" s="117"/>
      <c r="AG207" s="117"/>
      <c r="AH207" s="117"/>
      <c r="AI207" s="117"/>
      <c r="AJ207" s="117"/>
      <c r="AK207" s="117"/>
      <c r="AL207" s="117"/>
      <c r="AM207" s="117"/>
      <c r="AN207" s="117"/>
      <c r="AO207" s="117"/>
      <c r="AP207" s="117"/>
      <c r="AQ207" s="117"/>
      <c r="AR207" s="300"/>
      <c r="AS207" s="300"/>
      <c r="AT207" s="86"/>
      <c r="AU207" s="162"/>
      <c r="AV207" s="162"/>
      <c r="AW207" s="162"/>
      <c r="AX207" s="162"/>
      <c r="AY207" s="162"/>
      <c r="BB207" s="45"/>
      <c r="BC207" s="45"/>
      <c r="BD207" s="117"/>
      <c r="BE207" s="117"/>
      <c r="BF207" s="99"/>
      <c r="BG207" s="99"/>
      <c r="BH207" s="74"/>
      <c r="BI207" s="117"/>
      <c r="BJ207" s="117"/>
      <c r="BK207" s="117"/>
      <c r="BL207" s="117"/>
      <c r="BM207" s="117"/>
      <c r="BN207" s="117"/>
      <c r="BO207" s="117"/>
      <c r="BP207" s="117"/>
      <c r="BQ207" s="117"/>
      <c r="BR207" s="117"/>
      <c r="BS207" s="117"/>
      <c r="BT207" s="117"/>
      <c r="BU207" s="117"/>
      <c r="BV207" s="117"/>
      <c r="BW207" s="117"/>
      <c r="BX207" s="102"/>
      <c r="BY207" s="102"/>
      <c r="CD207" s="102"/>
      <c r="CE207" s="102"/>
      <c r="CG207" s="86"/>
      <c r="CH207" s="86"/>
      <c r="CI207" s="86"/>
      <c r="CJ207" s="86"/>
      <c r="CL207" s="63"/>
      <c r="CM207" s="54"/>
      <c r="CN207" s="54"/>
      <c r="CO207" s="54"/>
      <c r="CP207" s="54"/>
      <c r="CQ207" s="86"/>
      <c r="CR207" s="63"/>
      <c r="CS207" s="63"/>
      <c r="CT207" s="63"/>
      <c r="CU207" s="63"/>
      <c r="CV207" s="86"/>
      <c r="CW207" s="86"/>
      <c r="CX207" s="86"/>
      <c r="DF207" s="54"/>
      <c r="DG207" s="54"/>
      <c r="DH207" s="63"/>
      <c r="DI207" s="63"/>
      <c r="DJ207" s="63"/>
      <c r="DK207" s="63"/>
      <c r="DL207" s="63"/>
      <c r="DN207" s="86"/>
      <c r="DO207" s="86"/>
      <c r="DP207" s="86"/>
      <c r="DR207" s="63"/>
      <c r="DW207" s="54"/>
      <c r="DX207" s="54"/>
      <c r="DY207" s="63"/>
      <c r="DZ207" s="63"/>
      <c r="EA207" s="63"/>
      <c r="EB207" s="63"/>
      <c r="EC207" s="63"/>
      <c r="EE207" s="86"/>
      <c r="EF207" s="86"/>
      <c r="EG207" s="86"/>
      <c r="EI207" s="63"/>
      <c r="EN207" s="54"/>
      <c r="EQ207" s="86"/>
      <c r="ER207" s="86"/>
      <c r="EX207" s="54"/>
      <c r="FG207" s="86"/>
      <c r="FL207" s="45"/>
      <c r="FT207" s="63"/>
      <c r="FU207" s="54"/>
      <c r="FV207" s="54"/>
      <c r="FW207" s="54"/>
      <c r="FX207" s="86"/>
      <c r="FY207" s="86"/>
      <c r="FZ207" s="102"/>
      <c r="GA207" s="86"/>
      <c r="GB207" s="86"/>
      <c r="GD207" s="63"/>
      <c r="GE207" s="63"/>
      <c r="GF207" s="63"/>
      <c r="GG207" s="63"/>
      <c r="GH207" s="45"/>
      <c r="GI207" s="54"/>
      <c r="GJ207" s="54"/>
      <c r="GL207" s="86"/>
      <c r="GM207" s="86"/>
      <c r="GR207" s="86"/>
      <c r="GS207" s="86"/>
      <c r="GU207" s="63"/>
      <c r="GV207" s="63"/>
      <c r="GW207" s="63"/>
      <c r="GX207" s="63"/>
      <c r="GZ207" s="63"/>
      <c r="HA207" s="54"/>
      <c r="HD207" s="86"/>
      <c r="HI207" s="86"/>
      <c r="HJ207" s="86"/>
      <c r="HQ207" s="63"/>
      <c r="HR207" s="54"/>
      <c r="HU207" s="86"/>
      <c r="HZ207" s="86"/>
      <c r="IA207" s="86"/>
      <c r="IF207" s="54"/>
      <c r="IK207" s="86"/>
    </row>
    <row r="208" spans="1:245">
      <c r="A208" s="86">
        <v>178</v>
      </c>
      <c r="B208" s="117"/>
      <c r="C208" s="117"/>
      <c r="D208" s="117"/>
      <c r="E208" s="117"/>
      <c r="K208" s="117"/>
      <c r="L208" s="45"/>
      <c r="M208" s="45"/>
      <c r="N208" s="45"/>
      <c r="O208" s="45"/>
      <c r="P208" s="45"/>
      <c r="Q208" s="45"/>
      <c r="R208" s="45"/>
      <c r="S208" s="117"/>
      <c r="T208" s="117"/>
      <c r="U208" s="74"/>
      <c r="V208" s="74"/>
      <c r="W208" s="74"/>
      <c r="X208" s="74"/>
      <c r="Y208" s="74"/>
      <c r="Z208" s="74"/>
      <c r="AA208" s="74"/>
      <c r="AB208" s="74"/>
      <c r="AC208" s="117"/>
      <c r="AD208" s="117"/>
      <c r="AE208" s="117"/>
      <c r="AF208" s="117"/>
      <c r="AG208" s="117"/>
      <c r="AH208" s="117"/>
      <c r="AI208" s="117"/>
      <c r="AJ208" s="117"/>
      <c r="AK208" s="117"/>
      <c r="AL208" s="117"/>
      <c r="AM208" s="117"/>
      <c r="AN208" s="117"/>
      <c r="AO208" s="117"/>
      <c r="AP208" s="117"/>
      <c r="AQ208" s="117"/>
      <c r="AR208" s="300"/>
      <c r="AS208" s="300"/>
      <c r="AT208" s="86"/>
      <c r="AU208" s="162"/>
      <c r="AV208" s="162"/>
      <c r="AW208" s="162"/>
      <c r="AX208" s="162"/>
      <c r="AY208" s="162"/>
      <c r="BB208" s="45"/>
      <c r="BC208" s="45"/>
      <c r="BD208" s="117"/>
      <c r="BE208" s="117"/>
      <c r="BF208" s="99"/>
      <c r="BG208" s="99"/>
      <c r="BH208" s="74"/>
      <c r="BI208" s="117"/>
      <c r="BJ208" s="117"/>
      <c r="BK208" s="117"/>
      <c r="BL208" s="117"/>
      <c r="BM208" s="117"/>
      <c r="BN208" s="117"/>
      <c r="BO208" s="117"/>
      <c r="BP208" s="117"/>
      <c r="BQ208" s="117"/>
      <c r="BR208" s="117"/>
      <c r="BS208" s="117"/>
      <c r="BT208" s="117"/>
      <c r="BU208" s="117"/>
      <c r="BV208" s="117"/>
      <c r="BW208" s="117"/>
      <c r="BX208" s="102"/>
      <c r="BY208" s="102"/>
      <c r="CD208" s="102"/>
      <c r="CE208" s="102"/>
      <c r="CG208" s="86"/>
      <c r="CH208" s="86"/>
      <c r="CI208" s="86"/>
      <c r="CJ208" s="86"/>
      <c r="CL208" s="63"/>
      <c r="CM208" s="54"/>
      <c r="CN208" s="54"/>
      <c r="CO208" s="54"/>
      <c r="CP208" s="54"/>
      <c r="CQ208" s="86"/>
      <c r="CR208" s="63"/>
      <c r="CS208" s="63"/>
      <c r="CT208" s="63"/>
      <c r="CU208" s="63"/>
      <c r="CV208" s="86"/>
      <c r="CW208" s="86"/>
      <c r="CX208" s="86"/>
      <c r="DF208" s="54"/>
      <c r="DG208" s="54"/>
      <c r="DH208" s="63"/>
      <c r="DI208" s="63"/>
      <c r="DJ208" s="63"/>
      <c r="DK208" s="63"/>
      <c r="DL208" s="63"/>
      <c r="DN208" s="86"/>
      <c r="DO208" s="86"/>
      <c r="DP208" s="86"/>
      <c r="DR208" s="63"/>
      <c r="DW208" s="54"/>
      <c r="DX208" s="54"/>
      <c r="DY208" s="63"/>
      <c r="DZ208" s="63"/>
      <c r="EA208" s="63"/>
      <c r="EB208" s="63"/>
      <c r="EC208" s="63"/>
      <c r="EE208" s="86"/>
      <c r="EF208" s="86"/>
      <c r="EG208" s="86"/>
      <c r="EI208" s="63"/>
      <c r="EN208" s="54"/>
      <c r="EQ208" s="86"/>
      <c r="ER208" s="86"/>
      <c r="EX208" s="54"/>
      <c r="FG208" s="86"/>
      <c r="FL208" s="45"/>
      <c r="FT208" s="63"/>
      <c r="FU208" s="54"/>
      <c r="FV208" s="54"/>
      <c r="FW208" s="54"/>
      <c r="FX208" s="86"/>
      <c r="FY208" s="86"/>
      <c r="FZ208" s="102"/>
      <c r="GA208" s="86"/>
      <c r="GB208" s="86"/>
      <c r="GD208" s="63"/>
      <c r="GE208" s="63"/>
      <c r="GF208" s="63"/>
      <c r="GG208" s="63"/>
      <c r="GH208" s="45"/>
      <c r="GI208" s="54"/>
      <c r="GJ208" s="54"/>
      <c r="GL208" s="86"/>
      <c r="GM208" s="86"/>
      <c r="GR208" s="86"/>
      <c r="GS208" s="86"/>
      <c r="GU208" s="63"/>
      <c r="GV208" s="63"/>
      <c r="GW208" s="63"/>
      <c r="GX208" s="63"/>
      <c r="GZ208" s="63"/>
      <c r="HA208" s="54"/>
      <c r="HD208" s="86"/>
      <c r="HI208" s="86"/>
      <c r="HJ208" s="86"/>
      <c r="HQ208" s="63"/>
      <c r="HR208" s="54"/>
      <c r="HU208" s="86"/>
      <c r="HZ208" s="86"/>
      <c r="IA208" s="86"/>
      <c r="IF208" s="54"/>
      <c r="IK208" s="86"/>
    </row>
    <row r="209" spans="1:245">
      <c r="A209" s="86">
        <v>179</v>
      </c>
      <c r="B209" s="117"/>
      <c r="C209" s="117"/>
      <c r="D209" s="117"/>
      <c r="E209" s="117"/>
      <c r="K209" s="117"/>
      <c r="L209" s="117"/>
      <c r="M209" s="117"/>
      <c r="N209" s="117"/>
      <c r="O209" s="117"/>
      <c r="P209" s="117"/>
      <c r="Q209" s="117"/>
      <c r="R209" s="117"/>
      <c r="S209" s="117"/>
      <c r="T209" s="117"/>
      <c r="U209" s="74"/>
      <c r="V209" s="74"/>
      <c r="W209" s="74"/>
      <c r="X209" s="74"/>
      <c r="Y209" s="74"/>
      <c r="Z209" s="74"/>
      <c r="AA209" s="74"/>
      <c r="AB209" s="74"/>
      <c r="AC209" s="117"/>
      <c r="AD209" s="117"/>
      <c r="AE209" s="117"/>
      <c r="AF209" s="117"/>
      <c r="AG209" s="117"/>
      <c r="AH209" s="117"/>
      <c r="AI209" s="117"/>
      <c r="AJ209" s="117"/>
      <c r="AK209" s="117"/>
      <c r="AL209" s="117"/>
      <c r="AM209" s="117"/>
      <c r="AN209" s="117"/>
      <c r="AO209" s="117"/>
      <c r="AP209" s="117"/>
      <c r="AQ209" s="117"/>
      <c r="AR209" s="300"/>
      <c r="AS209" s="300"/>
      <c r="AT209" s="86"/>
      <c r="AU209" s="162"/>
      <c r="AV209" s="162"/>
      <c r="AW209" s="162"/>
      <c r="AX209" s="162"/>
      <c r="AY209" s="162"/>
      <c r="BB209" s="45"/>
      <c r="BC209" s="45"/>
      <c r="BD209" s="117"/>
      <c r="BE209" s="117"/>
      <c r="BF209" s="99"/>
      <c r="BG209" s="99"/>
      <c r="BH209" s="74"/>
      <c r="BI209" s="117"/>
      <c r="BJ209" s="117"/>
      <c r="BK209" s="117"/>
      <c r="BL209" s="117"/>
      <c r="BM209" s="117"/>
      <c r="BN209" s="117"/>
      <c r="BO209" s="117"/>
      <c r="BP209" s="117"/>
      <c r="BQ209" s="117"/>
      <c r="BR209" s="117"/>
      <c r="BS209" s="117"/>
      <c r="BT209" s="117"/>
      <c r="BU209" s="117"/>
      <c r="BV209" s="117"/>
      <c r="BW209" s="117"/>
      <c r="BX209" s="102"/>
      <c r="BY209" s="102"/>
      <c r="CD209" s="102"/>
      <c r="CE209" s="102"/>
      <c r="CG209" s="86"/>
      <c r="CH209" s="86"/>
      <c r="CI209" s="86"/>
      <c r="CJ209" s="86"/>
      <c r="CL209" s="63"/>
      <c r="CM209" s="54"/>
      <c r="CN209" s="54"/>
      <c r="CO209" s="54"/>
      <c r="CP209" s="54"/>
      <c r="CQ209" s="86"/>
      <c r="CR209" s="63"/>
      <c r="CS209" s="63"/>
      <c r="CT209" s="63"/>
      <c r="CU209" s="63"/>
      <c r="CV209" s="86"/>
      <c r="CW209" s="86"/>
      <c r="CX209" s="86"/>
      <c r="DF209" s="54"/>
      <c r="DG209" s="54"/>
      <c r="DH209" s="63"/>
      <c r="DI209" s="63"/>
      <c r="DJ209" s="63"/>
      <c r="DK209" s="63"/>
      <c r="DL209" s="63"/>
      <c r="DN209" s="86"/>
      <c r="DO209" s="86"/>
      <c r="DP209" s="86"/>
      <c r="DR209" s="63"/>
      <c r="DW209" s="54"/>
      <c r="DX209" s="54"/>
      <c r="DY209" s="63"/>
      <c r="DZ209" s="63"/>
      <c r="EA209" s="63"/>
      <c r="EB209" s="63"/>
      <c r="EC209" s="63"/>
      <c r="EE209" s="86"/>
      <c r="EF209" s="86"/>
      <c r="EG209" s="86"/>
      <c r="EI209" s="63"/>
      <c r="EN209" s="54"/>
      <c r="EQ209" s="86"/>
      <c r="ER209" s="86"/>
      <c r="EX209" s="54"/>
      <c r="FG209" s="86"/>
      <c r="FL209" s="45"/>
      <c r="FT209" s="63"/>
      <c r="FU209" s="54"/>
      <c r="FV209" s="54"/>
      <c r="FW209" s="54"/>
      <c r="FX209" s="86"/>
      <c r="FY209" s="86"/>
      <c r="FZ209" s="102"/>
      <c r="GA209" s="86"/>
      <c r="GB209" s="86"/>
      <c r="GD209" s="63"/>
      <c r="GE209" s="63"/>
      <c r="GF209" s="63"/>
      <c r="GG209" s="63"/>
      <c r="GH209" s="45"/>
      <c r="GI209" s="54"/>
      <c r="GJ209" s="54"/>
      <c r="GL209" s="86"/>
      <c r="GM209" s="86"/>
      <c r="GR209" s="86"/>
      <c r="GS209" s="86"/>
      <c r="GU209" s="63"/>
      <c r="GV209" s="63"/>
      <c r="GW209" s="63"/>
      <c r="GX209" s="63"/>
      <c r="GZ209" s="63"/>
      <c r="HA209" s="54"/>
      <c r="HD209" s="86"/>
      <c r="HI209" s="86"/>
      <c r="HJ209" s="86"/>
      <c r="HQ209" s="63"/>
      <c r="HR209" s="54"/>
      <c r="HU209" s="86"/>
      <c r="HZ209" s="86"/>
      <c r="IA209" s="86"/>
      <c r="IF209" s="54"/>
      <c r="IK209" s="86"/>
    </row>
    <row r="210" spans="1:245">
      <c r="A210" s="86">
        <v>180</v>
      </c>
      <c r="B210" s="117"/>
      <c r="C210" s="117"/>
      <c r="D210" s="117"/>
      <c r="E210" s="117"/>
      <c r="K210" s="117"/>
      <c r="L210" s="117"/>
      <c r="M210" s="117"/>
      <c r="N210" s="117"/>
      <c r="O210" s="117"/>
      <c r="P210" s="117"/>
      <c r="Q210" s="117"/>
      <c r="R210" s="117"/>
      <c r="S210" s="117"/>
      <c r="T210" s="117"/>
      <c r="U210" s="74"/>
      <c r="V210" s="74"/>
      <c r="W210" s="74"/>
      <c r="X210" s="74"/>
      <c r="Y210" s="74"/>
      <c r="Z210" s="74"/>
      <c r="AA210" s="74"/>
      <c r="AB210" s="74"/>
      <c r="AC210" s="117"/>
      <c r="AD210" s="117"/>
      <c r="AE210" s="117"/>
      <c r="AF210" s="117"/>
      <c r="AG210" s="117"/>
      <c r="AH210" s="117"/>
      <c r="AI210" s="117"/>
      <c r="AJ210" s="117"/>
      <c r="AK210" s="117"/>
      <c r="AL210" s="117"/>
      <c r="AM210" s="117"/>
      <c r="AN210" s="117"/>
      <c r="AO210" s="117"/>
      <c r="AP210" s="117"/>
      <c r="AQ210" s="117"/>
      <c r="AR210" s="300"/>
      <c r="AS210" s="300"/>
      <c r="AT210" s="86"/>
      <c r="AU210" s="162"/>
      <c r="AV210" s="162"/>
      <c r="AW210" s="162"/>
      <c r="AX210" s="162"/>
      <c r="AY210" s="162"/>
      <c r="BB210" s="45"/>
      <c r="BC210" s="45"/>
      <c r="BD210" s="117"/>
      <c r="BE210" s="117"/>
      <c r="BF210" s="99"/>
      <c r="BG210" s="99"/>
      <c r="BH210" s="74"/>
      <c r="BI210" s="117"/>
      <c r="BJ210" s="117"/>
      <c r="BK210" s="117"/>
      <c r="BL210" s="117"/>
      <c r="BM210" s="117"/>
      <c r="BN210" s="117"/>
      <c r="BO210" s="117"/>
      <c r="BP210" s="117"/>
      <c r="BQ210" s="117"/>
      <c r="BR210" s="117"/>
      <c r="BS210" s="117"/>
      <c r="BT210" s="117"/>
      <c r="BU210" s="117"/>
      <c r="BV210" s="117"/>
      <c r="BW210" s="117"/>
      <c r="BX210" s="102"/>
      <c r="BY210" s="102"/>
      <c r="CD210" s="102"/>
      <c r="CE210" s="102"/>
      <c r="CG210" s="86"/>
      <c r="CH210" s="86"/>
      <c r="CI210" s="86"/>
      <c r="CJ210" s="86"/>
      <c r="CL210" s="63"/>
      <c r="CM210" s="54"/>
      <c r="CN210" s="54"/>
      <c r="CO210" s="54"/>
      <c r="CP210" s="54"/>
      <c r="CQ210" s="86"/>
      <c r="CR210" s="63"/>
      <c r="CS210" s="63"/>
      <c r="CT210" s="63"/>
      <c r="CU210" s="63"/>
      <c r="CV210" s="86"/>
      <c r="CW210" s="86"/>
      <c r="CX210" s="86"/>
      <c r="DF210" s="54"/>
      <c r="DG210" s="54"/>
      <c r="DH210" s="63"/>
      <c r="DI210" s="63"/>
      <c r="DJ210" s="63"/>
      <c r="DK210" s="63"/>
      <c r="DL210" s="63"/>
      <c r="DN210" s="86"/>
      <c r="DO210" s="86"/>
      <c r="DP210" s="86"/>
      <c r="DR210" s="63"/>
      <c r="DW210" s="54"/>
      <c r="DX210" s="54"/>
      <c r="DY210" s="63"/>
      <c r="DZ210" s="63"/>
      <c r="EA210" s="63"/>
      <c r="EB210" s="63"/>
      <c r="EC210" s="63"/>
      <c r="EE210" s="86"/>
      <c r="EF210" s="86"/>
      <c r="EG210" s="86"/>
      <c r="EI210" s="63"/>
      <c r="EN210" s="54"/>
      <c r="EQ210" s="86"/>
      <c r="ER210" s="86"/>
      <c r="EX210" s="54"/>
      <c r="FG210" s="86"/>
      <c r="FL210" s="45"/>
      <c r="FT210" s="63"/>
      <c r="FU210" s="54"/>
      <c r="FV210" s="54"/>
      <c r="FW210" s="54"/>
      <c r="FX210" s="86"/>
      <c r="FY210" s="86"/>
      <c r="FZ210" s="102"/>
      <c r="GA210" s="86"/>
      <c r="GB210" s="86"/>
      <c r="GD210" s="63"/>
      <c r="GE210" s="63"/>
      <c r="GF210" s="63"/>
      <c r="GG210" s="63"/>
      <c r="GH210" s="45"/>
      <c r="GI210" s="54"/>
      <c r="GJ210" s="54"/>
      <c r="GL210" s="86"/>
      <c r="GM210" s="86"/>
      <c r="GR210" s="86"/>
      <c r="GS210" s="86"/>
      <c r="GU210" s="63"/>
      <c r="GV210" s="63"/>
      <c r="GW210" s="63"/>
      <c r="GX210" s="63"/>
      <c r="GZ210" s="63"/>
      <c r="HA210" s="54"/>
      <c r="HD210" s="86"/>
      <c r="HI210" s="86"/>
      <c r="HJ210" s="86"/>
      <c r="HQ210" s="63"/>
      <c r="HR210" s="54"/>
      <c r="HU210" s="86"/>
      <c r="HZ210" s="86"/>
      <c r="IA210" s="86"/>
      <c r="IF210" s="54"/>
      <c r="IK210" s="86"/>
    </row>
    <row r="211" spans="1:245">
      <c r="A211" s="86">
        <v>181</v>
      </c>
      <c r="B211" s="117"/>
      <c r="C211" s="117"/>
      <c r="D211" s="117"/>
      <c r="E211" s="117"/>
      <c r="K211" s="117"/>
      <c r="L211" s="117"/>
      <c r="M211" s="117"/>
      <c r="N211" s="117"/>
      <c r="O211" s="117"/>
      <c r="P211" s="117"/>
      <c r="Q211" s="117"/>
      <c r="R211" s="117"/>
      <c r="S211" s="117"/>
      <c r="T211" s="117"/>
      <c r="U211" s="74"/>
      <c r="V211" s="74"/>
      <c r="W211" s="74"/>
      <c r="X211" s="74"/>
      <c r="Y211" s="74"/>
      <c r="Z211" s="74"/>
      <c r="AA211" s="74"/>
      <c r="AB211" s="74"/>
      <c r="AC211" s="117"/>
      <c r="AD211" s="117"/>
      <c r="AE211" s="117"/>
      <c r="AF211" s="117"/>
      <c r="AG211" s="117"/>
      <c r="AH211" s="117"/>
      <c r="AI211" s="117"/>
      <c r="AJ211" s="117"/>
      <c r="AK211" s="117"/>
      <c r="AL211" s="117"/>
      <c r="AM211" s="117"/>
      <c r="AN211" s="117"/>
      <c r="AO211" s="117"/>
      <c r="AP211" s="117"/>
      <c r="AQ211" s="117"/>
      <c r="AR211" s="300"/>
      <c r="AS211" s="300"/>
      <c r="AT211" s="86"/>
      <c r="AU211" s="162"/>
      <c r="AV211" s="162"/>
      <c r="AW211" s="162"/>
      <c r="AX211" s="162"/>
      <c r="AY211" s="162"/>
      <c r="BB211" s="45"/>
      <c r="BC211" s="45"/>
      <c r="BD211" s="117"/>
      <c r="BE211" s="117"/>
      <c r="BF211" s="99"/>
      <c r="BG211" s="99"/>
      <c r="BH211" s="74"/>
      <c r="BI211" s="117"/>
      <c r="BJ211" s="117"/>
      <c r="BK211" s="117"/>
      <c r="BL211" s="117"/>
      <c r="BM211" s="117"/>
      <c r="BN211" s="117"/>
      <c r="BO211" s="117"/>
      <c r="BP211" s="117"/>
      <c r="BQ211" s="117"/>
      <c r="BR211" s="117"/>
      <c r="BS211" s="117"/>
      <c r="BT211" s="117"/>
      <c r="BU211" s="117"/>
      <c r="BV211" s="117"/>
      <c r="BW211" s="117"/>
      <c r="BX211" s="102"/>
      <c r="BY211" s="102"/>
      <c r="CD211" s="102"/>
      <c r="CE211" s="102"/>
      <c r="CG211" s="86"/>
      <c r="CH211" s="86"/>
      <c r="CI211" s="86"/>
      <c r="CJ211" s="86"/>
      <c r="CL211" s="63"/>
      <c r="CM211" s="54"/>
      <c r="CN211" s="54"/>
      <c r="CO211" s="54"/>
      <c r="CP211" s="54"/>
      <c r="CQ211" s="86"/>
      <c r="CR211" s="63"/>
      <c r="CS211" s="63"/>
      <c r="CT211" s="63"/>
      <c r="CU211" s="63"/>
      <c r="CV211" s="86"/>
      <c r="CW211" s="86"/>
      <c r="CX211" s="86"/>
      <c r="DF211" s="54"/>
      <c r="DG211" s="54"/>
      <c r="DH211" s="63"/>
      <c r="DI211" s="63"/>
      <c r="DJ211" s="63"/>
      <c r="DK211" s="63"/>
      <c r="DL211" s="63"/>
      <c r="DN211" s="86"/>
      <c r="DO211" s="86"/>
      <c r="DP211" s="86"/>
      <c r="DR211" s="63"/>
      <c r="DW211" s="54"/>
      <c r="DX211" s="54"/>
      <c r="DY211" s="63"/>
      <c r="DZ211" s="63"/>
      <c r="EA211" s="63"/>
      <c r="EB211" s="63"/>
      <c r="EC211" s="63"/>
      <c r="EE211" s="86"/>
      <c r="EF211" s="86"/>
      <c r="EG211" s="86"/>
      <c r="EI211" s="63"/>
      <c r="EN211" s="54"/>
      <c r="EQ211" s="86"/>
      <c r="ER211" s="86"/>
      <c r="EX211" s="54"/>
      <c r="FG211" s="86"/>
      <c r="FL211" s="45"/>
      <c r="FT211" s="63"/>
      <c r="FU211" s="54"/>
      <c r="FV211" s="54"/>
      <c r="FW211" s="54"/>
      <c r="FX211" s="86"/>
      <c r="FY211" s="86"/>
      <c r="FZ211" s="102"/>
      <c r="GA211" s="86"/>
      <c r="GB211" s="86"/>
      <c r="GD211" s="63"/>
      <c r="GE211" s="63"/>
      <c r="GF211" s="63"/>
      <c r="GG211" s="63"/>
      <c r="GH211" s="45"/>
      <c r="GI211" s="54"/>
      <c r="GJ211" s="54"/>
      <c r="GL211" s="86"/>
      <c r="GM211" s="86"/>
      <c r="GR211" s="86"/>
      <c r="GS211" s="86"/>
      <c r="GU211" s="63"/>
      <c r="GV211" s="63"/>
      <c r="GW211" s="63"/>
      <c r="GX211" s="63"/>
      <c r="GZ211" s="63"/>
      <c r="HA211" s="54"/>
      <c r="HD211" s="86"/>
      <c r="HI211" s="86"/>
      <c r="HJ211" s="86"/>
      <c r="HQ211" s="63"/>
      <c r="HR211" s="54"/>
      <c r="HU211" s="86"/>
      <c r="HZ211" s="86"/>
      <c r="IA211" s="86"/>
      <c r="IF211" s="54"/>
      <c r="IK211" s="86"/>
    </row>
    <row r="212" spans="1:245">
      <c r="A212" s="86">
        <v>182</v>
      </c>
      <c r="B212" s="117"/>
      <c r="C212" s="117"/>
      <c r="D212" s="117"/>
      <c r="E212" s="117"/>
      <c r="K212" s="117"/>
      <c r="L212" s="117"/>
      <c r="M212" s="117"/>
      <c r="N212" s="117"/>
      <c r="O212" s="117"/>
      <c r="P212" s="117"/>
      <c r="Q212" s="117"/>
      <c r="R212" s="117"/>
      <c r="S212" s="117"/>
      <c r="T212" s="117"/>
      <c r="U212" s="74"/>
      <c r="V212" s="74"/>
      <c r="W212" s="74"/>
      <c r="X212" s="74"/>
      <c r="Y212" s="74"/>
      <c r="Z212" s="74"/>
      <c r="AA212" s="74"/>
      <c r="AB212" s="74"/>
      <c r="AC212" s="117"/>
      <c r="AD212" s="117"/>
      <c r="AE212" s="117"/>
      <c r="AF212" s="117"/>
      <c r="AG212" s="117"/>
      <c r="AH212" s="117"/>
      <c r="AI212" s="117"/>
      <c r="AJ212" s="117"/>
      <c r="AK212" s="117"/>
      <c r="AL212" s="117"/>
      <c r="AM212" s="117"/>
      <c r="AN212" s="117"/>
      <c r="AO212" s="117"/>
      <c r="AP212" s="117"/>
      <c r="AQ212" s="117"/>
      <c r="AR212" s="300"/>
      <c r="AS212" s="300"/>
      <c r="AT212" s="86"/>
      <c r="AU212" s="162"/>
      <c r="AV212" s="162"/>
      <c r="AW212" s="162"/>
      <c r="AX212" s="162"/>
      <c r="AY212" s="162"/>
      <c r="BB212" s="45"/>
      <c r="BC212" s="45"/>
      <c r="BD212" s="117"/>
      <c r="BE212" s="117"/>
      <c r="BF212" s="99"/>
      <c r="BG212" s="99"/>
      <c r="BH212" s="74"/>
      <c r="BI212" s="117"/>
      <c r="BJ212" s="117"/>
      <c r="BK212" s="117"/>
      <c r="BL212" s="117"/>
      <c r="BM212" s="117"/>
      <c r="BN212" s="117"/>
      <c r="BO212" s="117"/>
      <c r="BP212" s="117"/>
      <c r="BQ212" s="117"/>
      <c r="BR212" s="117"/>
      <c r="BS212" s="117"/>
      <c r="BT212" s="117"/>
      <c r="BU212" s="117"/>
      <c r="BV212" s="117"/>
      <c r="BW212" s="117"/>
      <c r="BX212" s="102"/>
      <c r="BY212" s="102"/>
      <c r="CD212" s="102"/>
      <c r="CE212" s="102"/>
      <c r="CG212" s="86"/>
      <c r="CH212" s="86"/>
      <c r="CI212" s="86"/>
      <c r="CJ212" s="86"/>
      <c r="CL212" s="63"/>
      <c r="CM212" s="54"/>
      <c r="CN212" s="54"/>
      <c r="CO212" s="54"/>
      <c r="CP212" s="54"/>
      <c r="CQ212" s="86"/>
      <c r="CR212" s="63"/>
      <c r="CS212" s="63"/>
      <c r="CT212" s="63"/>
      <c r="CU212" s="63"/>
      <c r="CV212" s="86"/>
      <c r="CW212" s="86"/>
      <c r="CX212" s="86"/>
      <c r="DF212" s="54"/>
      <c r="DG212" s="54"/>
      <c r="DH212" s="63"/>
      <c r="DI212" s="63"/>
      <c r="DJ212" s="63"/>
      <c r="DK212" s="63"/>
      <c r="DL212" s="63"/>
      <c r="DN212" s="86"/>
      <c r="DO212" s="86"/>
      <c r="DP212" s="86"/>
      <c r="DR212" s="63"/>
      <c r="DW212" s="54"/>
      <c r="DX212" s="54"/>
      <c r="DY212" s="63"/>
      <c r="DZ212" s="63"/>
      <c r="EA212" s="63"/>
      <c r="EB212" s="63"/>
      <c r="EC212" s="63"/>
      <c r="EE212" s="86"/>
      <c r="EF212" s="86"/>
      <c r="EG212" s="86"/>
      <c r="EI212" s="63"/>
      <c r="EN212" s="54"/>
      <c r="EQ212" s="86"/>
      <c r="ER212" s="86"/>
      <c r="EX212" s="54"/>
      <c r="FG212" s="86"/>
      <c r="FL212" s="45"/>
      <c r="FT212" s="63"/>
      <c r="FU212" s="54"/>
      <c r="FV212" s="54"/>
      <c r="FW212" s="54"/>
      <c r="FX212" s="86"/>
      <c r="FY212" s="86"/>
      <c r="FZ212" s="102"/>
      <c r="GA212" s="86"/>
      <c r="GB212" s="86"/>
      <c r="GD212" s="63"/>
      <c r="GE212" s="63"/>
      <c r="GF212" s="63"/>
      <c r="GG212" s="63"/>
      <c r="GH212" s="45"/>
      <c r="GI212" s="54"/>
      <c r="GJ212" s="54"/>
      <c r="GL212" s="86"/>
      <c r="GM212" s="86"/>
      <c r="GR212" s="86"/>
      <c r="GS212" s="86"/>
      <c r="GU212" s="63"/>
      <c r="GV212" s="63"/>
      <c r="GW212" s="63"/>
      <c r="GX212" s="63"/>
      <c r="GZ212" s="63"/>
      <c r="HA212" s="54"/>
      <c r="HD212" s="86"/>
      <c r="HI212" s="86"/>
      <c r="HJ212" s="86"/>
      <c r="HQ212" s="63"/>
      <c r="HR212" s="54"/>
      <c r="HU212" s="86"/>
      <c r="HZ212" s="86"/>
      <c r="IA212" s="86"/>
      <c r="IF212" s="54"/>
      <c r="IK212" s="86"/>
    </row>
    <row r="213" spans="1:245">
      <c r="A213" s="86">
        <v>183</v>
      </c>
      <c r="B213" s="117"/>
      <c r="C213" s="117"/>
      <c r="D213" s="117"/>
      <c r="E213" s="117"/>
      <c r="K213" s="117"/>
      <c r="L213" s="117"/>
      <c r="M213" s="117"/>
      <c r="N213" s="117"/>
      <c r="O213" s="117"/>
      <c r="P213" s="117"/>
      <c r="Q213" s="117"/>
      <c r="R213" s="117"/>
      <c r="S213" s="117"/>
      <c r="T213" s="117"/>
      <c r="U213" s="74"/>
      <c r="V213" s="74"/>
      <c r="W213" s="74"/>
      <c r="X213" s="74"/>
      <c r="Y213" s="74"/>
      <c r="Z213" s="74"/>
      <c r="AA213" s="74"/>
      <c r="AB213" s="74"/>
      <c r="AC213" s="117"/>
      <c r="AD213" s="117"/>
      <c r="AE213" s="117"/>
      <c r="AF213" s="117"/>
      <c r="AG213" s="117"/>
      <c r="AH213" s="117"/>
      <c r="AI213" s="117"/>
      <c r="AJ213" s="117"/>
      <c r="AK213" s="117"/>
      <c r="AL213" s="117"/>
      <c r="AM213" s="117"/>
      <c r="AN213" s="117"/>
      <c r="AO213" s="117"/>
      <c r="AP213" s="117"/>
      <c r="AQ213" s="117"/>
      <c r="AR213" s="300"/>
      <c r="AS213" s="300"/>
      <c r="AT213" s="86"/>
      <c r="AU213" s="162"/>
      <c r="AV213" s="162"/>
      <c r="AW213" s="162"/>
      <c r="AX213" s="162"/>
      <c r="AY213" s="162"/>
      <c r="BB213" s="45"/>
      <c r="BC213" s="45"/>
      <c r="BD213" s="117"/>
      <c r="BE213" s="117"/>
      <c r="BF213" s="99"/>
      <c r="BG213" s="99"/>
      <c r="BH213" s="74"/>
      <c r="BI213" s="117"/>
      <c r="BJ213" s="117"/>
      <c r="BK213" s="117"/>
      <c r="BL213" s="117"/>
      <c r="BM213" s="117"/>
      <c r="BN213" s="117"/>
      <c r="BO213" s="117"/>
      <c r="BP213" s="117"/>
      <c r="BQ213" s="117"/>
      <c r="BR213" s="117"/>
      <c r="BS213" s="117"/>
      <c r="BT213" s="117"/>
      <c r="BU213" s="117"/>
      <c r="BV213" s="117"/>
      <c r="BW213" s="117"/>
      <c r="BX213" s="102"/>
      <c r="BY213" s="102"/>
      <c r="CD213" s="102"/>
      <c r="CE213" s="102"/>
      <c r="CG213" s="86"/>
      <c r="CH213" s="86"/>
      <c r="CI213" s="86"/>
      <c r="CJ213" s="86"/>
      <c r="CL213" s="63"/>
      <c r="CM213" s="54"/>
      <c r="CN213" s="54"/>
      <c r="CO213" s="54"/>
      <c r="CP213" s="54"/>
      <c r="CQ213" s="86"/>
      <c r="CR213" s="63"/>
      <c r="CS213" s="63"/>
      <c r="CT213" s="63"/>
      <c r="CU213" s="63"/>
      <c r="CV213" s="86"/>
      <c r="CW213" s="86"/>
      <c r="CX213" s="86"/>
      <c r="DF213" s="54"/>
      <c r="DG213" s="54"/>
      <c r="DH213" s="63"/>
      <c r="DI213" s="63"/>
      <c r="DJ213" s="63"/>
      <c r="DK213" s="63"/>
      <c r="DL213" s="63"/>
      <c r="DN213" s="86"/>
      <c r="DO213" s="86"/>
      <c r="DP213" s="86"/>
      <c r="DR213" s="63"/>
      <c r="DW213" s="54"/>
      <c r="DX213" s="54"/>
      <c r="DY213" s="63"/>
      <c r="DZ213" s="63"/>
      <c r="EA213" s="63"/>
      <c r="EB213" s="63"/>
      <c r="EC213" s="63"/>
      <c r="EE213" s="86"/>
      <c r="EF213" s="86"/>
      <c r="EG213" s="86"/>
      <c r="EI213" s="63"/>
      <c r="EN213" s="54"/>
      <c r="EQ213" s="86"/>
      <c r="ER213" s="86"/>
      <c r="EX213" s="54"/>
      <c r="FG213" s="86"/>
      <c r="FL213" s="45"/>
      <c r="FT213" s="63"/>
      <c r="FU213" s="54"/>
      <c r="FV213" s="54"/>
      <c r="FW213" s="54"/>
      <c r="FX213" s="86"/>
      <c r="FY213" s="86"/>
      <c r="FZ213" s="102"/>
      <c r="GA213" s="86"/>
      <c r="GB213" s="86"/>
      <c r="GD213" s="63"/>
      <c r="GE213" s="63"/>
      <c r="GF213" s="63"/>
      <c r="GG213" s="63"/>
      <c r="GH213" s="45"/>
      <c r="GI213" s="54"/>
      <c r="GJ213" s="54"/>
      <c r="GL213" s="86"/>
      <c r="GM213" s="86"/>
      <c r="GR213" s="86"/>
      <c r="GS213" s="86"/>
      <c r="GU213" s="63"/>
      <c r="GV213" s="63"/>
      <c r="GW213" s="63"/>
      <c r="GX213" s="63"/>
      <c r="GZ213" s="63"/>
      <c r="HA213" s="54"/>
      <c r="HD213" s="86"/>
      <c r="HI213" s="86"/>
      <c r="HJ213" s="86"/>
      <c r="HQ213" s="63"/>
      <c r="HR213" s="54"/>
      <c r="HU213" s="86"/>
      <c r="HZ213" s="86"/>
      <c r="IA213" s="86"/>
      <c r="IF213" s="54"/>
      <c r="IK213" s="86"/>
    </row>
    <row r="214" spans="1:245">
      <c r="A214" s="86">
        <v>184</v>
      </c>
      <c r="B214" s="117"/>
      <c r="C214" s="117"/>
      <c r="D214" s="117"/>
      <c r="E214" s="117"/>
      <c r="K214" s="117"/>
      <c r="L214" s="117"/>
      <c r="M214" s="117"/>
      <c r="N214" s="117"/>
      <c r="O214" s="117"/>
      <c r="P214" s="117"/>
      <c r="Q214" s="117"/>
      <c r="R214" s="117"/>
      <c r="S214" s="117"/>
      <c r="T214" s="117"/>
      <c r="U214" s="74"/>
      <c r="V214" s="74"/>
      <c r="W214" s="74"/>
      <c r="X214" s="74"/>
      <c r="Y214" s="74"/>
      <c r="Z214" s="74"/>
      <c r="AA214" s="74"/>
      <c r="AB214" s="74"/>
      <c r="AC214" s="117"/>
      <c r="AD214" s="117"/>
      <c r="AE214" s="117"/>
      <c r="AF214" s="117"/>
      <c r="AG214" s="117"/>
      <c r="AH214" s="117"/>
      <c r="AI214" s="117"/>
      <c r="AJ214" s="117"/>
      <c r="AK214" s="117"/>
      <c r="AL214" s="117"/>
      <c r="AM214" s="117"/>
      <c r="AN214" s="117"/>
      <c r="AO214" s="117"/>
      <c r="AP214" s="117"/>
      <c r="AQ214" s="117"/>
      <c r="AR214" s="300"/>
      <c r="AS214" s="300"/>
      <c r="AT214" s="86"/>
      <c r="AU214" s="162"/>
      <c r="AV214" s="162"/>
      <c r="AW214" s="162"/>
      <c r="AX214" s="162"/>
      <c r="AY214" s="162"/>
      <c r="BB214" s="45"/>
      <c r="BC214" s="45"/>
      <c r="BD214" s="117"/>
      <c r="BE214" s="117"/>
      <c r="BF214" s="99"/>
      <c r="BG214" s="99"/>
      <c r="BH214" s="74"/>
      <c r="BI214" s="117"/>
      <c r="BJ214" s="117"/>
      <c r="BK214" s="117"/>
      <c r="BL214" s="117"/>
      <c r="BM214" s="117"/>
      <c r="BN214" s="117"/>
      <c r="BO214" s="117"/>
      <c r="BP214" s="117"/>
      <c r="BQ214" s="117"/>
      <c r="BR214" s="117"/>
      <c r="BS214" s="117"/>
      <c r="BT214" s="117"/>
      <c r="BU214" s="117"/>
      <c r="BV214" s="117"/>
      <c r="BW214" s="117"/>
      <c r="BX214" s="102"/>
      <c r="BY214" s="102"/>
      <c r="CD214" s="102"/>
      <c r="CE214" s="102"/>
      <c r="CG214" s="86"/>
      <c r="CH214" s="86"/>
      <c r="CI214" s="86"/>
      <c r="CJ214" s="86"/>
      <c r="CL214" s="63"/>
      <c r="CM214" s="54"/>
      <c r="CN214" s="54"/>
      <c r="CO214" s="54"/>
      <c r="CP214" s="54"/>
      <c r="CQ214" s="86"/>
      <c r="CR214" s="63"/>
      <c r="CS214" s="63"/>
      <c r="CT214" s="63"/>
      <c r="CU214" s="63"/>
      <c r="CV214" s="86"/>
      <c r="CW214" s="86"/>
      <c r="CX214" s="86"/>
      <c r="DF214" s="54"/>
      <c r="DG214" s="54"/>
      <c r="DH214" s="63"/>
      <c r="DI214" s="63"/>
      <c r="DJ214" s="63"/>
      <c r="DK214" s="63"/>
      <c r="DL214" s="63"/>
      <c r="DN214" s="86"/>
      <c r="DO214" s="86"/>
      <c r="DP214" s="86"/>
      <c r="DR214" s="63"/>
      <c r="DW214" s="54"/>
      <c r="DX214" s="54"/>
      <c r="DY214" s="63"/>
      <c r="DZ214" s="63"/>
      <c r="EA214" s="63"/>
      <c r="EB214" s="63"/>
      <c r="EC214" s="63"/>
      <c r="EE214" s="86"/>
      <c r="EF214" s="86"/>
      <c r="EG214" s="86"/>
      <c r="EI214" s="63"/>
      <c r="EN214" s="54"/>
      <c r="EQ214" s="86"/>
      <c r="ER214" s="86"/>
      <c r="EX214" s="54"/>
      <c r="FG214" s="86"/>
      <c r="FL214" s="45"/>
      <c r="FT214" s="63"/>
      <c r="FU214" s="54"/>
      <c r="FV214" s="54"/>
      <c r="FW214" s="54"/>
      <c r="FX214" s="86"/>
      <c r="FY214" s="86"/>
      <c r="FZ214" s="102"/>
      <c r="GA214" s="86"/>
      <c r="GB214" s="86"/>
      <c r="GD214" s="63"/>
      <c r="GE214" s="63"/>
      <c r="GF214" s="63"/>
      <c r="GG214" s="63"/>
      <c r="GH214" s="45"/>
      <c r="GI214" s="54"/>
      <c r="GJ214" s="54"/>
      <c r="GL214" s="86"/>
      <c r="GM214" s="86"/>
      <c r="GR214" s="86"/>
      <c r="GS214" s="86"/>
      <c r="GU214" s="63"/>
      <c r="GV214" s="63"/>
      <c r="GW214" s="63"/>
      <c r="GX214" s="63"/>
      <c r="GZ214" s="63"/>
      <c r="HA214" s="54"/>
      <c r="HD214" s="86"/>
      <c r="HI214" s="86"/>
      <c r="HJ214" s="86"/>
      <c r="HQ214" s="63"/>
      <c r="HR214" s="54"/>
      <c r="HU214" s="86"/>
      <c r="HZ214" s="86"/>
      <c r="IA214" s="86"/>
      <c r="IF214" s="54"/>
      <c r="IK214" s="86"/>
    </row>
    <row r="215" spans="1:245">
      <c r="A215" s="86">
        <v>185</v>
      </c>
      <c r="B215" s="117"/>
      <c r="C215" s="117"/>
      <c r="D215" s="117"/>
      <c r="E215" s="117"/>
      <c r="K215" s="117"/>
      <c r="L215" s="117"/>
      <c r="M215" s="117"/>
      <c r="N215" s="117"/>
      <c r="O215" s="117"/>
      <c r="P215" s="117"/>
      <c r="Q215" s="117"/>
      <c r="R215" s="117"/>
      <c r="S215" s="117"/>
      <c r="T215" s="117"/>
      <c r="U215" s="74"/>
      <c r="V215" s="74"/>
      <c r="W215" s="74"/>
      <c r="X215" s="74"/>
      <c r="Y215" s="74"/>
      <c r="Z215" s="74"/>
      <c r="AA215" s="74"/>
      <c r="AB215" s="74"/>
      <c r="AC215" s="117"/>
      <c r="AD215" s="117"/>
      <c r="AE215" s="117"/>
      <c r="AF215" s="117"/>
      <c r="AG215" s="117"/>
      <c r="AH215" s="117"/>
      <c r="AI215" s="117"/>
      <c r="AJ215" s="117"/>
      <c r="AK215" s="117"/>
      <c r="AL215" s="117"/>
      <c r="AM215" s="117"/>
      <c r="AN215" s="117"/>
      <c r="AO215" s="117"/>
      <c r="AP215" s="117"/>
      <c r="AQ215" s="117"/>
      <c r="AR215" s="300"/>
      <c r="AS215" s="300"/>
      <c r="AT215" s="86"/>
      <c r="AU215" s="162"/>
      <c r="AV215" s="162"/>
      <c r="AW215" s="162"/>
      <c r="AX215" s="162"/>
      <c r="AY215" s="162"/>
      <c r="BB215" s="45"/>
      <c r="BC215" s="45"/>
      <c r="BD215" s="117"/>
      <c r="BE215" s="117"/>
      <c r="BF215" s="99"/>
      <c r="BG215" s="99"/>
      <c r="BH215" s="74"/>
      <c r="BI215" s="117"/>
      <c r="BJ215" s="117"/>
      <c r="BK215" s="117"/>
      <c r="BL215" s="117"/>
      <c r="BM215" s="117"/>
      <c r="BN215" s="117"/>
      <c r="BO215" s="117"/>
      <c r="BP215" s="117"/>
      <c r="BQ215" s="117"/>
      <c r="BR215" s="117"/>
      <c r="BS215" s="117"/>
      <c r="BT215" s="117"/>
      <c r="BU215" s="117"/>
      <c r="BV215" s="117"/>
      <c r="BW215" s="117"/>
      <c r="BX215" s="102"/>
      <c r="BY215" s="102"/>
      <c r="CD215" s="102"/>
      <c r="CE215" s="102"/>
      <c r="CG215" s="86"/>
      <c r="CH215" s="86"/>
      <c r="CI215" s="86"/>
      <c r="CJ215" s="86"/>
      <c r="CL215" s="63"/>
      <c r="CM215" s="54"/>
      <c r="CN215" s="54"/>
      <c r="CO215" s="54"/>
      <c r="CP215" s="54"/>
      <c r="CQ215" s="86"/>
      <c r="CR215" s="63"/>
      <c r="CS215" s="63"/>
      <c r="CT215" s="63"/>
      <c r="CU215" s="63"/>
      <c r="CV215" s="86"/>
      <c r="CW215" s="86"/>
      <c r="CX215" s="86"/>
      <c r="DF215" s="54"/>
      <c r="DG215" s="54"/>
      <c r="DH215" s="63"/>
      <c r="DI215" s="63"/>
      <c r="DJ215" s="63"/>
      <c r="DK215" s="63"/>
      <c r="DL215" s="63"/>
      <c r="DN215" s="86"/>
      <c r="DO215" s="86"/>
      <c r="DP215" s="86"/>
      <c r="DR215" s="63"/>
      <c r="DW215" s="54"/>
      <c r="DX215" s="54"/>
      <c r="DY215" s="63"/>
      <c r="DZ215" s="63"/>
      <c r="EA215" s="63"/>
      <c r="EB215" s="63"/>
      <c r="EC215" s="63"/>
      <c r="EE215" s="86"/>
      <c r="EF215" s="86"/>
      <c r="EG215" s="86"/>
      <c r="EI215" s="63"/>
      <c r="EN215" s="54"/>
      <c r="EQ215" s="86"/>
      <c r="ER215" s="86"/>
      <c r="EX215" s="54"/>
      <c r="FG215" s="86"/>
      <c r="FL215" s="45"/>
      <c r="FT215" s="63"/>
      <c r="FU215" s="54"/>
      <c r="FV215" s="54"/>
      <c r="FW215" s="54"/>
      <c r="FX215" s="86"/>
      <c r="FY215" s="86"/>
      <c r="FZ215" s="102"/>
      <c r="GA215" s="86"/>
      <c r="GB215" s="86"/>
      <c r="GD215" s="63"/>
      <c r="GE215" s="63"/>
      <c r="GF215" s="63"/>
      <c r="GG215" s="63"/>
      <c r="GH215" s="45"/>
      <c r="GI215" s="54"/>
      <c r="GJ215" s="54"/>
      <c r="GL215" s="86"/>
      <c r="GM215" s="86"/>
      <c r="GR215" s="86"/>
      <c r="GS215" s="86"/>
      <c r="GU215" s="63"/>
      <c r="GV215" s="63"/>
      <c r="GW215" s="63"/>
      <c r="GX215" s="63"/>
      <c r="GZ215" s="63"/>
      <c r="HA215" s="54"/>
      <c r="HD215" s="86"/>
      <c r="HI215" s="86"/>
      <c r="HJ215" s="86"/>
      <c r="HQ215" s="63"/>
      <c r="HR215" s="54"/>
      <c r="HU215" s="86"/>
      <c r="HZ215" s="86"/>
      <c r="IA215" s="86"/>
      <c r="IF215" s="54"/>
      <c r="IK215" s="86"/>
    </row>
    <row r="216" spans="1:245">
      <c r="A216" s="86">
        <v>186</v>
      </c>
      <c r="B216" s="117"/>
      <c r="C216" s="117"/>
      <c r="D216" s="117"/>
      <c r="E216" s="117"/>
      <c r="K216" s="117"/>
      <c r="L216" s="117"/>
      <c r="M216" s="117"/>
      <c r="N216" s="117"/>
      <c r="O216" s="117"/>
      <c r="P216" s="117"/>
      <c r="Q216" s="117"/>
      <c r="R216" s="117"/>
      <c r="S216" s="117"/>
      <c r="T216" s="117"/>
      <c r="U216" s="74"/>
      <c r="V216" s="74"/>
      <c r="W216" s="74"/>
      <c r="X216" s="74"/>
      <c r="Y216" s="74"/>
      <c r="Z216" s="74"/>
      <c r="AA216" s="74"/>
      <c r="AB216" s="74"/>
      <c r="AC216" s="117"/>
      <c r="AD216" s="117"/>
      <c r="AE216" s="117"/>
      <c r="AF216" s="117"/>
      <c r="AG216" s="117"/>
      <c r="AH216" s="117"/>
      <c r="AI216" s="117"/>
      <c r="AJ216" s="117"/>
      <c r="AK216" s="117"/>
      <c r="AL216" s="117"/>
      <c r="AM216" s="117"/>
      <c r="AN216" s="117"/>
      <c r="AO216" s="117"/>
      <c r="AP216" s="117"/>
      <c r="AQ216" s="117"/>
      <c r="AR216" s="300"/>
      <c r="AS216" s="300"/>
      <c r="AT216" s="86"/>
      <c r="AU216" s="162"/>
      <c r="AV216" s="162"/>
      <c r="AW216" s="162"/>
      <c r="AX216" s="162"/>
      <c r="AY216" s="162"/>
      <c r="BB216" s="45"/>
      <c r="BC216" s="45"/>
      <c r="BD216" s="117"/>
      <c r="BE216" s="117"/>
      <c r="BF216" s="99"/>
      <c r="BG216" s="99"/>
      <c r="BH216" s="74"/>
      <c r="BI216" s="117"/>
      <c r="BJ216" s="117"/>
      <c r="BK216" s="117"/>
      <c r="BL216" s="117"/>
      <c r="BM216" s="117"/>
      <c r="BN216" s="117"/>
      <c r="BO216" s="117"/>
      <c r="BP216" s="117"/>
      <c r="BQ216" s="117"/>
      <c r="BR216" s="117"/>
      <c r="BS216" s="117"/>
      <c r="BT216" s="117"/>
      <c r="BU216" s="117"/>
      <c r="BV216" s="117"/>
      <c r="BW216" s="117"/>
      <c r="BX216" s="102"/>
      <c r="BY216" s="102"/>
      <c r="CD216" s="102"/>
      <c r="CE216" s="102"/>
      <c r="CG216" s="86"/>
      <c r="CH216" s="86"/>
      <c r="CI216" s="86"/>
      <c r="CJ216" s="86"/>
      <c r="CL216" s="63"/>
      <c r="CM216" s="54"/>
      <c r="CN216" s="54"/>
      <c r="CO216" s="54"/>
      <c r="CP216" s="54"/>
      <c r="CQ216" s="86"/>
      <c r="CR216" s="63"/>
      <c r="CS216" s="63"/>
      <c r="CT216" s="63"/>
      <c r="CU216" s="63"/>
      <c r="CV216" s="86"/>
      <c r="CW216" s="86"/>
      <c r="CX216" s="86"/>
      <c r="DF216" s="54"/>
      <c r="DG216" s="54"/>
      <c r="DH216" s="63"/>
      <c r="DI216" s="63"/>
      <c r="DJ216" s="63"/>
      <c r="DK216" s="63"/>
      <c r="DL216" s="63"/>
      <c r="DN216" s="86"/>
      <c r="DO216" s="86"/>
      <c r="DP216" s="86"/>
      <c r="DR216" s="63"/>
      <c r="DW216" s="54"/>
      <c r="DX216" s="54"/>
      <c r="DY216" s="63"/>
      <c r="DZ216" s="63"/>
      <c r="EA216" s="63"/>
      <c r="EB216" s="63"/>
      <c r="EC216" s="63"/>
      <c r="EE216" s="86"/>
      <c r="EF216" s="86"/>
      <c r="EG216" s="86"/>
      <c r="EI216" s="63"/>
      <c r="EN216" s="54"/>
      <c r="EQ216" s="86"/>
      <c r="ER216" s="86"/>
      <c r="EX216" s="54"/>
      <c r="FG216" s="86"/>
      <c r="FL216" s="45"/>
      <c r="FT216" s="63"/>
      <c r="FU216" s="54"/>
      <c r="FV216" s="54"/>
      <c r="FW216" s="54"/>
      <c r="FX216" s="86"/>
      <c r="FY216" s="86"/>
      <c r="FZ216" s="102"/>
      <c r="GA216" s="86"/>
      <c r="GB216" s="86"/>
      <c r="GD216" s="63"/>
      <c r="GE216" s="63"/>
      <c r="GF216" s="63"/>
      <c r="GG216" s="63"/>
      <c r="GH216" s="45"/>
      <c r="GI216" s="54"/>
      <c r="GJ216" s="54"/>
      <c r="GL216" s="86"/>
      <c r="GM216" s="86"/>
      <c r="GR216" s="86"/>
      <c r="GS216" s="86"/>
      <c r="GU216" s="63"/>
      <c r="GV216" s="63"/>
      <c r="GW216" s="63"/>
      <c r="GX216" s="63"/>
      <c r="GZ216" s="63"/>
      <c r="HA216" s="54"/>
      <c r="HD216" s="86"/>
      <c r="HI216" s="86"/>
      <c r="HJ216" s="86"/>
      <c r="HQ216" s="63"/>
      <c r="HR216" s="54"/>
      <c r="HU216" s="86"/>
      <c r="HZ216" s="86"/>
      <c r="IA216" s="86"/>
      <c r="IF216" s="54"/>
      <c r="IK216" s="86"/>
    </row>
    <row r="217" spans="1:245">
      <c r="A217" s="86">
        <v>187</v>
      </c>
      <c r="B217" s="117"/>
      <c r="C217" s="117"/>
      <c r="D217" s="117"/>
      <c r="E217" s="117"/>
      <c r="K217" s="117"/>
      <c r="L217" s="117"/>
      <c r="M217" s="117"/>
      <c r="N217" s="117"/>
      <c r="O217" s="117"/>
      <c r="P217" s="117"/>
      <c r="Q217" s="117"/>
      <c r="R217" s="117"/>
      <c r="S217" s="117"/>
      <c r="T217" s="117"/>
      <c r="U217" s="74"/>
      <c r="V217" s="74"/>
      <c r="W217" s="74"/>
      <c r="X217" s="74"/>
      <c r="Y217" s="74"/>
      <c r="Z217" s="74"/>
      <c r="AA217" s="74"/>
      <c r="AB217" s="74"/>
      <c r="AC217" s="117"/>
      <c r="AD217" s="117"/>
      <c r="AE217" s="117"/>
      <c r="AF217" s="117"/>
      <c r="AG217" s="117"/>
      <c r="AH217" s="117"/>
      <c r="AI217" s="117"/>
      <c r="AJ217" s="117"/>
      <c r="AK217" s="117"/>
      <c r="AL217" s="117"/>
      <c r="AM217" s="117"/>
      <c r="AN217" s="117"/>
      <c r="AO217" s="117"/>
      <c r="AP217" s="117"/>
      <c r="AQ217" s="117"/>
      <c r="AR217" s="300"/>
      <c r="AS217" s="300"/>
      <c r="AT217" s="86"/>
      <c r="AU217" s="162"/>
      <c r="AV217" s="162"/>
      <c r="AW217" s="162"/>
      <c r="AX217" s="162"/>
      <c r="AY217" s="162"/>
      <c r="BB217" s="45"/>
      <c r="BC217" s="45"/>
      <c r="BD217" s="117"/>
      <c r="BE217" s="117"/>
      <c r="BF217" s="99"/>
      <c r="BG217" s="99"/>
      <c r="BH217" s="74"/>
      <c r="BI217" s="117"/>
      <c r="BJ217" s="117"/>
      <c r="BK217" s="117"/>
      <c r="BL217" s="117"/>
      <c r="BM217" s="117"/>
      <c r="BN217" s="117"/>
      <c r="BO217" s="117"/>
      <c r="BP217" s="117"/>
      <c r="BQ217" s="117"/>
      <c r="BR217" s="117"/>
      <c r="BS217" s="117"/>
      <c r="BT217" s="117"/>
      <c r="BU217" s="117"/>
      <c r="BV217" s="117"/>
      <c r="BW217" s="117"/>
      <c r="BX217" s="102"/>
      <c r="BY217" s="102"/>
      <c r="CD217" s="102"/>
      <c r="CE217" s="102"/>
      <c r="CG217" s="86"/>
      <c r="CH217" s="86"/>
      <c r="CI217" s="86"/>
      <c r="CJ217" s="86"/>
      <c r="CL217" s="63"/>
      <c r="CM217" s="54"/>
      <c r="CN217" s="54"/>
      <c r="CO217" s="54"/>
      <c r="CP217" s="54"/>
      <c r="CQ217" s="86"/>
      <c r="CR217" s="63"/>
      <c r="CS217" s="63"/>
      <c r="CT217" s="63"/>
      <c r="CU217" s="63"/>
      <c r="CV217" s="86"/>
      <c r="CW217" s="86"/>
      <c r="CX217" s="86"/>
      <c r="DF217" s="54"/>
      <c r="DG217" s="54"/>
      <c r="DH217" s="63"/>
      <c r="DI217" s="63"/>
      <c r="DJ217" s="63"/>
      <c r="DK217" s="63"/>
      <c r="DL217" s="63"/>
      <c r="DN217" s="86"/>
      <c r="DO217" s="86"/>
      <c r="DP217" s="86"/>
      <c r="DR217" s="63"/>
      <c r="DW217" s="54"/>
      <c r="DX217" s="54"/>
      <c r="DY217" s="63"/>
      <c r="DZ217" s="63"/>
      <c r="EA217" s="63"/>
      <c r="EB217" s="63"/>
      <c r="EC217" s="63"/>
      <c r="EE217" s="86"/>
      <c r="EF217" s="86"/>
      <c r="EG217" s="86"/>
      <c r="EI217" s="63"/>
      <c r="EN217" s="54"/>
      <c r="EQ217" s="86"/>
      <c r="ER217" s="86"/>
      <c r="EX217" s="54"/>
      <c r="FG217" s="86"/>
      <c r="FL217" s="45"/>
      <c r="FT217" s="63"/>
      <c r="FU217" s="54"/>
      <c r="FV217" s="54"/>
      <c r="FW217" s="54"/>
      <c r="FX217" s="86"/>
      <c r="FY217" s="86"/>
      <c r="FZ217" s="102"/>
      <c r="GA217" s="86"/>
      <c r="GB217" s="86"/>
      <c r="GD217" s="63"/>
      <c r="GE217" s="63"/>
      <c r="GF217" s="63"/>
      <c r="GG217" s="63"/>
      <c r="GH217" s="45"/>
      <c r="GI217" s="54"/>
      <c r="GJ217" s="54"/>
      <c r="GL217" s="86"/>
      <c r="GM217" s="86"/>
      <c r="GR217" s="86"/>
      <c r="GS217" s="86"/>
      <c r="GU217" s="63"/>
      <c r="GV217" s="63"/>
      <c r="GW217" s="63"/>
      <c r="GX217" s="63"/>
      <c r="GZ217" s="63"/>
      <c r="HA217" s="54"/>
      <c r="HD217" s="86"/>
      <c r="HI217" s="86"/>
      <c r="HJ217" s="86"/>
      <c r="HQ217" s="63"/>
      <c r="HR217" s="54"/>
      <c r="HU217" s="86"/>
      <c r="HZ217" s="86"/>
      <c r="IA217" s="86"/>
      <c r="IF217" s="54"/>
      <c r="IK217" s="86"/>
    </row>
    <row r="218" spans="1:245">
      <c r="A218" s="86">
        <v>188</v>
      </c>
      <c r="B218" s="117"/>
      <c r="C218" s="117"/>
      <c r="D218" s="117"/>
      <c r="E218" s="117"/>
      <c r="K218" s="117"/>
      <c r="L218" s="117"/>
      <c r="M218" s="117"/>
      <c r="N218" s="117"/>
      <c r="O218" s="117"/>
      <c r="P218" s="117"/>
      <c r="Q218" s="117"/>
      <c r="R218" s="117"/>
      <c r="S218" s="117"/>
      <c r="T218" s="117"/>
      <c r="U218" s="74"/>
      <c r="V218" s="74"/>
      <c r="W218" s="74"/>
      <c r="X218" s="74"/>
      <c r="Y218" s="74"/>
      <c r="Z218" s="74"/>
      <c r="AA218" s="74"/>
      <c r="AB218" s="74"/>
      <c r="AC218" s="117"/>
      <c r="AD218" s="117"/>
      <c r="AE218" s="117"/>
      <c r="AF218" s="117"/>
      <c r="AG218" s="117"/>
      <c r="AH218" s="117"/>
      <c r="AI218" s="117"/>
      <c r="AJ218" s="117"/>
      <c r="AK218" s="117"/>
      <c r="AL218" s="117"/>
      <c r="AM218" s="117"/>
      <c r="AN218" s="117"/>
      <c r="AO218" s="117"/>
      <c r="AP218" s="117"/>
      <c r="AQ218" s="117"/>
      <c r="AR218" s="300"/>
      <c r="AS218" s="300"/>
      <c r="AT218" s="86"/>
      <c r="AU218" s="162"/>
      <c r="AV218" s="162"/>
      <c r="AW218" s="162"/>
      <c r="AX218" s="162"/>
      <c r="AY218" s="162"/>
      <c r="BB218" s="45"/>
      <c r="BC218" s="45"/>
      <c r="BD218" s="117"/>
      <c r="BE218" s="117"/>
      <c r="BF218" s="99"/>
      <c r="BG218" s="99"/>
      <c r="BH218" s="74"/>
      <c r="BI218" s="117"/>
      <c r="BJ218" s="117"/>
      <c r="BK218" s="117"/>
      <c r="BL218" s="117"/>
      <c r="BM218" s="117"/>
      <c r="BN218" s="117"/>
      <c r="BO218" s="117"/>
      <c r="BP218" s="117"/>
      <c r="BQ218" s="117"/>
      <c r="BR218" s="117"/>
      <c r="BS218" s="117"/>
      <c r="BT218" s="117"/>
      <c r="BU218" s="117"/>
      <c r="BV218" s="117"/>
      <c r="BW218" s="117"/>
      <c r="BX218" s="102"/>
      <c r="BY218" s="102"/>
      <c r="CD218" s="102"/>
      <c r="CE218" s="102"/>
      <c r="CG218" s="86"/>
      <c r="CH218" s="86"/>
      <c r="CI218" s="86"/>
      <c r="CJ218" s="86"/>
      <c r="CL218" s="63"/>
      <c r="CM218" s="54"/>
      <c r="CN218" s="54"/>
      <c r="CO218" s="54"/>
      <c r="CP218" s="54"/>
      <c r="CQ218" s="86"/>
      <c r="CR218" s="63"/>
      <c r="CS218" s="63"/>
      <c r="CT218" s="63"/>
      <c r="CU218" s="63"/>
      <c r="CV218" s="86"/>
      <c r="CW218" s="86"/>
      <c r="CX218" s="86"/>
      <c r="DF218" s="54"/>
      <c r="DG218" s="54"/>
      <c r="DH218" s="63"/>
      <c r="DI218" s="63"/>
      <c r="DJ218" s="63"/>
      <c r="DK218" s="63"/>
      <c r="DL218" s="63"/>
      <c r="DN218" s="86"/>
      <c r="DO218" s="86"/>
      <c r="DP218" s="86"/>
      <c r="DR218" s="63"/>
      <c r="DW218" s="54"/>
      <c r="DX218" s="54"/>
      <c r="DY218" s="63"/>
      <c r="DZ218" s="63"/>
      <c r="EA218" s="63"/>
      <c r="EB218" s="63"/>
      <c r="EC218" s="63"/>
      <c r="EE218" s="86"/>
      <c r="EF218" s="86"/>
      <c r="EG218" s="86"/>
      <c r="EI218" s="63"/>
      <c r="EN218" s="54"/>
      <c r="EQ218" s="86"/>
      <c r="ER218" s="86"/>
      <c r="EX218" s="54"/>
      <c r="FG218" s="86"/>
      <c r="FL218" s="45"/>
      <c r="FT218" s="63"/>
      <c r="FU218" s="54"/>
      <c r="FV218" s="54"/>
      <c r="FW218" s="54"/>
      <c r="FX218" s="86"/>
      <c r="FY218" s="86"/>
      <c r="FZ218" s="102"/>
      <c r="GA218" s="86"/>
      <c r="GB218" s="86"/>
      <c r="GD218" s="63"/>
      <c r="GE218" s="63"/>
      <c r="GF218" s="63"/>
      <c r="GG218" s="63"/>
      <c r="GH218" s="45"/>
      <c r="GI218" s="54"/>
      <c r="GJ218" s="54"/>
      <c r="GL218" s="86"/>
      <c r="GM218" s="86"/>
      <c r="GR218" s="86"/>
      <c r="GS218" s="86"/>
      <c r="GU218" s="63"/>
      <c r="GV218" s="63"/>
      <c r="GW218" s="63"/>
      <c r="GX218" s="63"/>
      <c r="GZ218" s="63"/>
      <c r="HA218" s="54"/>
      <c r="HD218" s="86"/>
      <c r="HI218" s="86"/>
      <c r="HJ218" s="86"/>
      <c r="HQ218" s="63"/>
      <c r="HR218" s="54"/>
      <c r="HU218" s="86"/>
      <c r="HZ218" s="86"/>
      <c r="IA218" s="86"/>
      <c r="IF218" s="54"/>
      <c r="IK218" s="86"/>
    </row>
    <row r="219" spans="1:245">
      <c r="A219" s="86">
        <v>189</v>
      </c>
      <c r="B219" s="117"/>
      <c r="C219" s="117"/>
      <c r="D219" s="117"/>
      <c r="E219" s="117"/>
      <c r="K219" s="117"/>
      <c r="L219" s="117"/>
      <c r="M219" s="117"/>
      <c r="N219" s="117"/>
      <c r="O219" s="117"/>
      <c r="P219" s="117"/>
      <c r="Q219" s="117"/>
      <c r="R219" s="117"/>
      <c r="S219" s="117"/>
      <c r="T219" s="117"/>
      <c r="U219" s="74"/>
      <c r="V219" s="74"/>
      <c r="W219" s="74"/>
      <c r="X219" s="74"/>
      <c r="Y219" s="74"/>
      <c r="Z219" s="74"/>
      <c r="AA219" s="74"/>
      <c r="AB219" s="74"/>
      <c r="AC219" s="117"/>
      <c r="AD219" s="117"/>
      <c r="AE219" s="117"/>
      <c r="AF219" s="117"/>
      <c r="AG219" s="117"/>
      <c r="AH219" s="117"/>
      <c r="AI219" s="117"/>
      <c r="AJ219" s="117"/>
      <c r="AK219" s="117"/>
      <c r="AL219" s="117"/>
      <c r="AM219" s="117"/>
      <c r="AN219" s="117"/>
      <c r="AO219" s="117"/>
      <c r="AP219" s="117"/>
      <c r="AQ219" s="117"/>
      <c r="AR219" s="300"/>
      <c r="AS219" s="300"/>
      <c r="AT219" s="86"/>
      <c r="AU219" s="162"/>
      <c r="AV219" s="162"/>
      <c r="AW219" s="162"/>
      <c r="AX219" s="162"/>
      <c r="AY219" s="162"/>
      <c r="BB219" s="45"/>
      <c r="BC219" s="45"/>
      <c r="BD219" s="117"/>
      <c r="BE219" s="117"/>
      <c r="BF219" s="99"/>
      <c r="BG219" s="99"/>
      <c r="BH219" s="74"/>
      <c r="BI219" s="117"/>
      <c r="BJ219" s="117"/>
      <c r="BK219" s="117"/>
      <c r="BL219" s="117"/>
      <c r="BM219" s="117"/>
      <c r="BN219" s="117"/>
      <c r="BO219" s="117"/>
      <c r="BP219" s="117"/>
      <c r="BQ219" s="117"/>
      <c r="BR219" s="117"/>
      <c r="BS219" s="117"/>
      <c r="BT219" s="117"/>
      <c r="BU219" s="117"/>
      <c r="BV219" s="117"/>
      <c r="BW219" s="117"/>
      <c r="BX219" s="102"/>
      <c r="BY219" s="102"/>
      <c r="CD219" s="102"/>
      <c r="CE219" s="102"/>
      <c r="CG219" s="86"/>
      <c r="CH219" s="86"/>
      <c r="CI219" s="86"/>
      <c r="CJ219" s="86"/>
      <c r="CL219" s="63"/>
      <c r="CM219" s="54"/>
      <c r="CN219" s="54"/>
      <c r="CO219" s="54"/>
      <c r="CP219" s="54"/>
      <c r="CQ219" s="86"/>
      <c r="CR219" s="63"/>
      <c r="CS219" s="63"/>
      <c r="CT219" s="63"/>
      <c r="CU219" s="63"/>
      <c r="CV219" s="86"/>
      <c r="CW219" s="86"/>
      <c r="CX219" s="86"/>
      <c r="DF219" s="54"/>
      <c r="DG219" s="54"/>
      <c r="DH219" s="63"/>
      <c r="DI219" s="63"/>
      <c r="DJ219" s="63"/>
      <c r="DK219" s="63"/>
      <c r="DL219" s="63"/>
      <c r="DN219" s="86"/>
      <c r="DO219" s="86"/>
      <c r="DP219" s="86"/>
      <c r="DR219" s="63"/>
      <c r="DW219" s="54"/>
      <c r="DX219" s="54"/>
      <c r="DY219" s="63"/>
      <c r="DZ219" s="63"/>
      <c r="EA219" s="63"/>
      <c r="EB219" s="63"/>
      <c r="EC219" s="63"/>
      <c r="EE219" s="86"/>
      <c r="EF219" s="86"/>
      <c r="EG219" s="86"/>
      <c r="EI219" s="63"/>
      <c r="EN219" s="54"/>
      <c r="EQ219" s="86"/>
      <c r="ER219" s="86"/>
      <c r="EX219" s="54"/>
      <c r="FG219" s="86"/>
      <c r="FL219" s="45"/>
      <c r="FT219" s="63"/>
      <c r="FU219" s="54"/>
      <c r="FV219" s="54"/>
      <c r="FW219" s="54"/>
      <c r="FX219" s="86"/>
      <c r="FY219" s="86"/>
      <c r="FZ219" s="102"/>
      <c r="GA219" s="86"/>
      <c r="GB219" s="86"/>
      <c r="GD219" s="63"/>
      <c r="GE219" s="63"/>
      <c r="GF219" s="63"/>
      <c r="GG219" s="63"/>
      <c r="GH219" s="45"/>
      <c r="GI219" s="54"/>
      <c r="GJ219" s="54"/>
      <c r="GL219" s="86"/>
      <c r="GM219" s="86"/>
      <c r="GR219" s="86"/>
      <c r="GS219" s="86"/>
      <c r="GU219" s="63"/>
      <c r="GV219" s="63"/>
      <c r="GW219" s="63"/>
      <c r="GX219" s="63"/>
      <c r="GZ219" s="63"/>
      <c r="HA219" s="54"/>
      <c r="HD219" s="86"/>
      <c r="HI219" s="86"/>
      <c r="HJ219" s="86"/>
      <c r="HQ219" s="63"/>
      <c r="HR219" s="54"/>
      <c r="HU219" s="86"/>
      <c r="HZ219" s="86"/>
      <c r="IA219" s="86"/>
      <c r="IF219" s="54"/>
      <c r="IK219" s="86"/>
    </row>
    <row r="220" spans="1:245">
      <c r="A220" s="86">
        <v>190</v>
      </c>
      <c r="B220" s="117"/>
      <c r="C220" s="117"/>
      <c r="D220" s="117"/>
      <c r="E220" s="117"/>
      <c r="K220" s="117"/>
      <c r="L220" s="117"/>
      <c r="M220" s="117"/>
      <c r="N220" s="117"/>
      <c r="O220" s="117"/>
      <c r="P220" s="117"/>
      <c r="Q220" s="117"/>
      <c r="R220" s="117"/>
      <c r="S220" s="117"/>
      <c r="T220" s="117"/>
      <c r="U220" s="74"/>
      <c r="V220" s="74"/>
      <c r="W220" s="74"/>
      <c r="X220" s="74"/>
      <c r="Y220" s="74"/>
      <c r="Z220" s="74"/>
      <c r="AA220" s="74"/>
      <c r="AB220" s="74"/>
      <c r="AC220" s="117"/>
      <c r="AD220" s="117"/>
      <c r="AE220" s="117"/>
      <c r="AF220" s="117"/>
      <c r="AG220" s="117"/>
      <c r="AH220" s="117"/>
      <c r="AI220" s="117"/>
      <c r="AJ220" s="117"/>
      <c r="AK220" s="117"/>
      <c r="AL220" s="117"/>
      <c r="AM220" s="117"/>
      <c r="AN220" s="117"/>
      <c r="AO220" s="117"/>
      <c r="AP220" s="117"/>
      <c r="AQ220" s="117"/>
      <c r="AR220" s="300"/>
      <c r="AS220" s="300"/>
      <c r="AT220" s="86"/>
      <c r="AU220" s="162"/>
      <c r="AV220" s="162"/>
      <c r="AW220" s="162"/>
      <c r="AX220" s="162"/>
      <c r="AY220" s="162"/>
      <c r="BB220" s="45"/>
      <c r="BC220" s="45"/>
      <c r="BD220" s="117"/>
      <c r="BE220" s="117"/>
      <c r="BF220" s="99"/>
      <c r="BG220" s="99"/>
      <c r="BH220" s="74"/>
      <c r="BI220" s="117"/>
      <c r="BJ220" s="117"/>
      <c r="BK220" s="117"/>
      <c r="BL220" s="117"/>
      <c r="BM220" s="117"/>
      <c r="BN220" s="117"/>
      <c r="BO220" s="117"/>
      <c r="BP220" s="117"/>
      <c r="BQ220" s="117"/>
      <c r="BR220" s="117"/>
      <c r="BS220" s="117"/>
      <c r="BT220" s="117"/>
      <c r="BU220" s="117"/>
      <c r="BV220" s="117"/>
      <c r="BW220" s="117"/>
      <c r="BX220" s="102"/>
      <c r="BY220" s="102"/>
      <c r="CD220" s="102"/>
      <c r="CE220" s="102"/>
      <c r="CG220" s="86"/>
      <c r="CH220" s="86"/>
      <c r="CI220" s="86"/>
      <c r="CJ220" s="86"/>
      <c r="CL220" s="63"/>
      <c r="CM220" s="54"/>
      <c r="CN220" s="54"/>
      <c r="CO220" s="54"/>
      <c r="CP220" s="54"/>
      <c r="CQ220" s="86"/>
      <c r="CR220" s="63"/>
      <c r="CS220" s="63"/>
      <c r="CT220" s="63"/>
      <c r="CU220" s="63"/>
      <c r="CV220" s="86"/>
      <c r="CW220" s="86"/>
      <c r="CX220" s="86"/>
      <c r="DF220" s="54"/>
      <c r="DG220" s="54"/>
      <c r="DH220" s="63"/>
      <c r="DI220" s="63"/>
      <c r="DJ220" s="63"/>
      <c r="DK220" s="63"/>
      <c r="DL220" s="63"/>
      <c r="DN220" s="86"/>
      <c r="DO220" s="86"/>
      <c r="DP220" s="86"/>
      <c r="DR220" s="63"/>
      <c r="DW220" s="54"/>
      <c r="DX220" s="54"/>
      <c r="DY220" s="63"/>
      <c r="DZ220" s="63"/>
      <c r="EA220" s="63"/>
      <c r="EB220" s="63"/>
      <c r="EC220" s="63"/>
      <c r="EE220" s="86"/>
      <c r="EF220" s="86"/>
      <c r="EG220" s="86"/>
      <c r="EI220" s="63"/>
      <c r="EN220" s="54"/>
      <c r="EQ220" s="86"/>
      <c r="ER220" s="86"/>
      <c r="EX220" s="54"/>
      <c r="FG220" s="86"/>
      <c r="FL220" s="45"/>
      <c r="FT220" s="63"/>
      <c r="FU220" s="54"/>
      <c r="FV220" s="54"/>
      <c r="FW220" s="54"/>
      <c r="FX220" s="86"/>
      <c r="FY220" s="86"/>
      <c r="FZ220" s="102"/>
      <c r="GA220" s="86"/>
      <c r="GB220" s="86"/>
      <c r="GD220" s="63"/>
      <c r="GE220" s="63"/>
      <c r="GF220" s="63"/>
      <c r="GG220" s="63"/>
      <c r="GH220" s="45"/>
      <c r="GI220" s="54"/>
      <c r="GJ220" s="54"/>
      <c r="GL220" s="86"/>
      <c r="GM220" s="86"/>
      <c r="GR220" s="86"/>
      <c r="GS220" s="86"/>
      <c r="GU220" s="63"/>
      <c r="GV220" s="63"/>
      <c r="GW220" s="63"/>
      <c r="GX220" s="63"/>
      <c r="GZ220" s="63"/>
      <c r="HA220" s="54"/>
      <c r="HD220" s="86"/>
      <c r="HI220" s="86"/>
      <c r="HJ220" s="86"/>
      <c r="HQ220" s="63"/>
      <c r="HR220" s="54"/>
      <c r="HU220" s="86"/>
      <c r="HZ220" s="86"/>
      <c r="IA220" s="86"/>
      <c r="IF220" s="54"/>
      <c r="IK220" s="86"/>
    </row>
    <row r="221" spans="1:245">
      <c r="A221" s="86">
        <v>191</v>
      </c>
      <c r="B221" s="117"/>
      <c r="C221" s="117"/>
      <c r="D221" s="117"/>
      <c r="E221" s="117"/>
      <c r="K221" s="117"/>
      <c r="L221" s="117"/>
      <c r="M221" s="117"/>
      <c r="N221" s="117"/>
      <c r="O221" s="117"/>
      <c r="P221" s="117"/>
      <c r="Q221" s="117"/>
      <c r="R221" s="117"/>
      <c r="S221" s="117"/>
      <c r="T221" s="117"/>
      <c r="U221" s="74"/>
      <c r="V221" s="74"/>
      <c r="W221" s="74"/>
      <c r="X221" s="74"/>
      <c r="Y221" s="74"/>
      <c r="Z221" s="74"/>
      <c r="AA221" s="74"/>
      <c r="AB221" s="74"/>
      <c r="AC221" s="117"/>
      <c r="AD221" s="117"/>
      <c r="AE221" s="117"/>
      <c r="AF221" s="117"/>
      <c r="AG221" s="117"/>
      <c r="AH221" s="117"/>
      <c r="AI221" s="117"/>
      <c r="AJ221" s="117"/>
      <c r="AK221" s="117"/>
      <c r="AL221" s="117"/>
      <c r="AM221" s="117"/>
      <c r="AN221" s="117"/>
      <c r="AO221" s="117"/>
      <c r="AP221" s="117"/>
      <c r="AQ221" s="117"/>
      <c r="AR221" s="300"/>
      <c r="AS221" s="300"/>
      <c r="AT221" s="86"/>
      <c r="AU221" s="162"/>
      <c r="AV221" s="162"/>
      <c r="AW221" s="162"/>
      <c r="AX221" s="162"/>
      <c r="AY221" s="162"/>
      <c r="BB221" s="45"/>
      <c r="BC221" s="45"/>
      <c r="BD221" s="117"/>
      <c r="BE221" s="117"/>
      <c r="BF221" s="99"/>
      <c r="BG221" s="99"/>
      <c r="BH221" s="74"/>
      <c r="BI221" s="117"/>
      <c r="BJ221" s="117"/>
      <c r="BK221" s="117"/>
      <c r="BL221" s="117"/>
      <c r="BM221" s="117"/>
      <c r="BN221" s="117"/>
      <c r="BO221" s="117"/>
      <c r="BP221" s="117"/>
      <c r="BQ221" s="117"/>
      <c r="BR221" s="117"/>
      <c r="BS221" s="117"/>
      <c r="BT221" s="117"/>
      <c r="BU221" s="117"/>
      <c r="BV221" s="117"/>
      <c r="BW221" s="117"/>
      <c r="BX221" s="102"/>
      <c r="BY221" s="102"/>
      <c r="CD221" s="102"/>
      <c r="CE221" s="102"/>
      <c r="CG221" s="86"/>
      <c r="CH221" s="86"/>
      <c r="CI221" s="86"/>
      <c r="CJ221" s="86"/>
      <c r="CL221" s="63"/>
      <c r="CM221" s="54"/>
      <c r="CN221" s="54"/>
      <c r="CO221" s="54"/>
      <c r="CP221" s="54"/>
      <c r="CQ221" s="86"/>
      <c r="CR221" s="63"/>
      <c r="CS221" s="63"/>
      <c r="CT221" s="63"/>
      <c r="CU221" s="63"/>
      <c r="CV221" s="86"/>
      <c r="CW221" s="86"/>
      <c r="CX221" s="86"/>
      <c r="DF221" s="54"/>
      <c r="DG221" s="54"/>
      <c r="DH221" s="63"/>
      <c r="DI221" s="63"/>
      <c r="DJ221" s="63"/>
      <c r="DK221" s="63"/>
      <c r="DL221" s="63"/>
      <c r="DN221" s="86"/>
      <c r="DO221" s="86"/>
      <c r="DP221" s="86"/>
      <c r="DR221" s="63"/>
      <c r="DW221" s="54"/>
      <c r="DX221" s="54"/>
      <c r="DY221" s="63"/>
      <c r="DZ221" s="63"/>
      <c r="EA221" s="63"/>
      <c r="EB221" s="63"/>
      <c r="EC221" s="63"/>
      <c r="EE221" s="86"/>
      <c r="EF221" s="86"/>
      <c r="EG221" s="86"/>
      <c r="EI221" s="63"/>
      <c r="EN221" s="54"/>
      <c r="EQ221" s="86"/>
      <c r="ER221" s="86"/>
      <c r="EX221" s="54"/>
      <c r="FG221" s="86"/>
      <c r="FL221" s="45"/>
      <c r="FT221" s="63"/>
      <c r="FU221" s="54"/>
      <c r="FV221" s="54"/>
      <c r="FW221" s="54"/>
      <c r="FX221" s="86"/>
      <c r="FY221" s="86"/>
      <c r="FZ221" s="102"/>
      <c r="GA221" s="86"/>
      <c r="GB221" s="86"/>
      <c r="GD221" s="63"/>
      <c r="GE221" s="63"/>
      <c r="GF221" s="63"/>
      <c r="GG221" s="63"/>
      <c r="GH221" s="45"/>
      <c r="GI221" s="54"/>
      <c r="GJ221" s="54"/>
      <c r="GL221" s="86"/>
      <c r="GM221" s="86"/>
      <c r="GR221" s="86"/>
      <c r="GS221" s="86"/>
      <c r="GU221" s="63"/>
      <c r="GV221" s="63"/>
      <c r="GW221" s="63"/>
      <c r="GX221" s="63"/>
      <c r="GZ221" s="63"/>
      <c r="HA221" s="54"/>
      <c r="HD221" s="86"/>
      <c r="HI221" s="86"/>
      <c r="HJ221" s="86"/>
      <c r="HQ221" s="63"/>
      <c r="HR221" s="54"/>
      <c r="HU221" s="86"/>
      <c r="HZ221" s="86"/>
      <c r="IA221" s="86"/>
      <c r="IF221" s="54"/>
      <c r="IK221" s="86"/>
    </row>
    <row r="222" spans="1:245">
      <c r="A222" s="86">
        <v>192</v>
      </c>
      <c r="B222" s="117"/>
      <c r="C222" s="117"/>
      <c r="D222" s="117"/>
      <c r="E222" s="117"/>
      <c r="K222" s="117"/>
      <c r="L222" s="117"/>
      <c r="M222" s="117"/>
      <c r="N222" s="117"/>
      <c r="O222" s="117"/>
      <c r="P222" s="117"/>
      <c r="Q222" s="117"/>
      <c r="R222" s="117"/>
      <c r="S222" s="117"/>
      <c r="T222" s="117"/>
      <c r="U222" s="74"/>
      <c r="V222" s="74"/>
      <c r="W222" s="74"/>
      <c r="X222" s="74"/>
      <c r="Y222" s="74"/>
      <c r="Z222" s="74"/>
      <c r="AA222" s="74"/>
      <c r="AB222" s="74"/>
      <c r="AC222" s="117"/>
      <c r="AD222" s="117"/>
      <c r="AE222" s="117"/>
      <c r="AF222" s="117"/>
      <c r="AG222" s="117"/>
      <c r="AH222" s="117"/>
      <c r="AI222" s="117"/>
      <c r="AJ222" s="117"/>
      <c r="AK222" s="117"/>
      <c r="AL222" s="117"/>
      <c r="AM222" s="117"/>
      <c r="AN222" s="117"/>
      <c r="AO222" s="117"/>
      <c r="AP222" s="117"/>
      <c r="AQ222" s="117"/>
      <c r="AR222" s="300"/>
      <c r="AS222" s="300"/>
      <c r="AT222" s="86"/>
      <c r="AU222" s="162"/>
      <c r="AV222" s="162"/>
      <c r="AW222" s="162"/>
      <c r="AX222" s="162"/>
      <c r="AY222" s="162"/>
      <c r="BB222" s="45"/>
      <c r="BC222" s="45"/>
      <c r="BD222" s="117"/>
      <c r="BE222" s="117"/>
      <c r="BF222" s="99"/>
      <c r="BG222" s="99"/>
      <c r="BH222" s="74"/>
      <c r="BI222" s="117"/>
      <c r="BJ222" s="117"/>
      <c r="BK222" s="117"/>
      <c r="BL222" s="117"/>
      <c r="BM222" s="117"/>
      <c r="BN222" s="117"/>
      <c r="BO222" s="117"/>
      <c r="BP222" s="117"/>
      <c r="BQ222" s="117"/>
      <c r="BR222" s="117"/>
      <c r="BS222" s="117"/>
      <c r="BT222" s="117"/>
      <c r="BU222" s="117"/>
      <c r="BV222" s="117"/>
      <c r="BW222" s="117"/>
      <c r="BX222" s="102"/>
      <c r="BY222" s="102"/>
      <c r="CD222" s="102"/>
      <c r="CE222" s="102"/>
      <c r="CG222" s="86"/>
      <c r="CH222" s="86"/>
      <c r="CI222" s="86"/>
      <c r="CJ222" s="86"/>
      <c r="CL222" s="63"/>
      <c r="CM222" s="54"/>
      <c r="CN222" s="54"/>
      <c r="CO222" s="54"/>
      <c r="CP222" s="54"/>
      <c r="CQ222" s="86"/>
      <c r="CR222" s="63"/>
      <c r="CS222" s="63"/>
      <c r="CT222" s="63"/>
      <c r="CU222" s="63"/>
      <c r="CV222" s="86"/>
      <c r="CW222" s="86"/>
      <c r="CX222" s="86"/>
      <c r="DF222" s="54"/>
      <c r="DG222" s="54"/>
      <c r="DH222" s="63"/>
      <c r="DI222" s="63"/>
      <c r="DJ222" s="63"/>
      <c r="DK222" s="63"/>
      <c r="DL222" s="63"/>
      <c r="DN222" s="86"/>
      <c r="DO222" s="86"/>
      <c r="DP222" s="86"/>
      <c r="DR222" s="63"/>
      <c r="DW222" s="54"/>
      <c r="DX222" s="54"/>
      <c r="DY222" s="63"/>
      <c r="DZ222" s="63"/>
      <c r="EA222" s="63"/>
      <c r="EB222" s="63"/>
      <c r="EC222" s="63"/>
      <c r="EE222" s="86"/>
      <c r="EF222" s="86"/>
      <c r="EG222" s="86"/>
      <c r="EI222" s="63"/>
      <c r="EN222" s="54"/>
      <c r="EQ222" s="86"/>
      <c r="ER222" s="86"/>
      <c r="EX222" s="54"/>
      <c r="FG222" s="86"/>
      <c r="FL222" s="45"/>
      <c r="FT222" s="63"/>
      <c r="FU222" s="54"/>
      <c r="FV222" s="54"/>
      <c r="FW222" s="54"/>
      <c r="FX222" s="86"/>
      <c r="FY222" s="86"/>
      <c r="FZ222" s="102"/>
      <c r="GA222" s="86"/>
      <c r="GB222" s="86"/>
      <c r="GD222" s="63"/>
      <c r="GE222" s="63"/>
      <c r="GF222" s="63"/>
      <c r="GG222" s="63"/>
      <c r="GH222" s="45"/>
      <c r="GI222" s="54"/>
      <c r="GJ222" s="54"/>
      <c r="GL222" s="86"/>
      <c r="GM222" s="86"/>
      <c r="GR222" s="86"/>
      <c r="GS222" s="86"/>
      <c r="GU222" s="63"/>
      <c r="GV222" s="63"/>
      <c r="GW222" s="63"/>
      <c r="GX222" s="63"/>
      <c r="GZ222" s="63"/>
      <c r="HA222" s="54"/>
      <c r="HD222" s="86"/>
      <c r="HI222" s="86"/>
      <c r="HJ222" s="86"/>
      <c r="HQ222" s="63"/>
      <c r="HR222" s="54"/>
      <c r="HU222" s="86"/>
      <c r="HZ222" s="86"/>
      <c r="IA222" s="86"/>
      <c r="IF222" s="54"/>
      <c r="IK222" s="86"/>
    </row>
    <row r="223" spans="1:245">
      <c r="A223" s="86">
        <v>193</v>
      </c>
      <c r="B223" s="117"/>
      <c r="C223" s="117"/>
      <c r="D223" s="117"/>
      <c r="E223" s="117"/>
      <c r="K223" s="117"/>
      <c r="L223" s="117"/>
      <c r="M223" s="117"/>
      <c r="N223" s="117"/>
      <c r="O223" s="117"/>
      <c r="P223" s="117"/>
      <c r="Q223" s="117"/>
      <c r="R223" s="117"/>
      <c r="S223" s="117"/>
      <c r="T223" s="117"/>
      <c r="U223" s="74"/>
      <c r="V223" s="74"/>
      <c r="W223" s="74"/>
      <c r="X223" s="74"/>
      <c r="Y223" s="74"/>
      <c r="Z223" s="74"/>
      <c r="AA223" s="74"/>
      <c r="AB223" s="74"/>
      <c r="AC223" s="117"/>
      <c r="AD223" s="117"/>
      <c r="AE223" s="117"/>
      <c r="AF223" s="117"/>
      <c r="AG223" s="117"/>
      <c r="AH223" s="117"/>
      <c r="AI223" s="117"/>
      <c r="AJ223" s="117"/>
      <c r="AK223" s="117"/>
      <c r="AL223" s="117"/>
      <c r="AM223" s="117"/>
      <c r="AN223" s="117"/>
      <c r="AO223" s="117"/>
      <c r="AP223" s="117"/>
      <c r="AQ223" s="117"/>
      <c r="AR223" s="300"/>
      <c r="AS223" s="300"/>
      <c r="AT223" s="86"/>
      <c r="AU223" s="162"/>
      <c r="AV223" s="162"/>
      <c r="AW223" s="162"/>
      <c r="AX223" s="162"/>
      <c r="AY223" s="162"/>
      <c r="BB223" s="45"/>
      <c r="BC223" s="45"/>
      <c r="BD223" s="117"/>
      <c r="BE223" s="117"/>
      <c r="BF223" s="99"/>
      <c r="BG223" s="99"/>
      <c r="BH223" s="74"/>
      <c r="BI223" s="117"/>
      <c r="BJ223" s="117"/>
      <c r="BK223" s="117"/>
      <c r="BL223" s="117"/>
      <c r="BM223" s="117"/>
      <c r="BN223" s="117"/>
      <c r="BO223" s="117"/>
      <c r="BP223" s="117"/>
      <c r="BQ223" s="117"/>
      <c r="BR223" s="117"/>
      <c r="BS223" s="117"/>
      <c r="BT223" s="117"/>
      <c r="BU223" s="117"/>
      <c r="BV223" s="117"/>
      <c r="BW223" s="117"/>
      <c r="BX223" s="102"/>
      <c r="BY223" s="102"/>
      <c r="CD223" s="102"/>
      <c r="CE223" s="102"/>
      <c r="CG223" s="86"/>
      <c r="CH223" s="86"/>
      <c r="CI223" s="86"/>
      <c r="CJ223" s="86"/>
      <c r="CL223" s="63"/>
      <c r="CM223" s="54"/>
      <c r="CN223" s="54"/>
      <c r="CO223" s="54"/>
      <c r="CP223" s="54"/>
      <c r="CQ223" s="86"/>
      <c r="CR223" s="63"/>
      <c r="CS223" s="63"/>
      <c r="CT223" s="63"/>
      <c r="CU223" s="63"/>
      <c r="CV223" s="86"/>
      <c r="CW223" s="86"/>
      <c r="CX223" s="86"/>
      <c r="DF223" s="54"/>
      <c r="DG223" s="54"/>
      <c r="DH223" s="63"/>
      <c r="DI223" s="63"/>
      <c r="DJ223" s="63"/>
      <c r="DK223" s="63"/>
      <c r="DL223" s="63"/>
      <c r="DN223" s="86"/>
      <c r="DO223" s="86"/>
      <c r="DP223" s="86"/>
      <c r="DR223" s="63"/>
      <c r="DW223" s="54"/>
      <c r="DX223" s="54"/>
      <c r="DY223" s="63"/>
      <c r="DZ223" s="63"/>
      <c r="EA223" s="63"/>
      <c r="EB223" s="63"/>
      <c r="EC223" s="63"/>
      <c r="EE223" s="86"/>
      <c r="EF223" s="86"/>
      <c r="EG223" s="86"/>
      <c r="EI223" s="63"/>
      <c r="EN223" s="54"/>
      <c r="EQ223" s="86"/>
      <c r="ER223" s="86"/>
      <c r="EX223" s="54"/>
      <c r="FG223" s="86"/>
      <c r="FL223" s="45"/>
      <c r="FT223" s="63"/>
      <c r="FU223" s="54"/>
      <c r="FV223" s="54"/>
      <c r="FW223" s="54"/>
      <c r="FX223" s="86"/>
      <c r="FY223" s="86"/>
      <c r="FZ223" s="102"/>
      <c r="GA223" s="86"/>
      <c r="GB223" s="86"/>
      <c r="GD223" s="63"/>
      <c r="GE223" s="63"/>
      <c r="GF223" s="63"/>
      <c r="GG223" s="63"/>
      <c r="GH223" s="45"/>
      <c r="GI223" s="54"/>
      <c r="GJ223" s="54"/>
      <c r="GL223" s="86"/>
      <c r="GM223" s="86"/>
      <c r="GR223" s="86"/>
      <c r="GS223" s="86"/>
      <c r="GU223" s="63"/>
      <c r="GV223" s="63"/>
      <c r="GW223" s="63"/>
      <c r="GX223" s="63"/>
      <c r="GZ223" s="63"/>
      <c r="HA223" s="54"/>
      <c r="HD223" s="86"/>
      <c r="HI223" s="86"/>
      <c r="HJ223" s="86"/>
      <c r="HQ223" s="63"/>
      <c r="HR223" s="54"/>
      <c r="HU223" s="86"/>
      <c r="HZ223" s="86"/>
      <c r="IA223" s="86"/>
      <c r="IF223" s="54"/>
      <c r="IK223" s="86"/>
    </row>
    <row r="224" spans="1:245">
      <c r="A224" s="86">
        <v>194</v>
      </c>
      <c r="B224" s="117"/>
      <c r="C224" s="117"/>
      <c r="D224" s="117"/>
      <c r="E224" s="117"/>
      <c r="K224" s="117"/>
      <c r="L224" s="117"/>
      <c r="M224" s="117"/>
      <c r="N224" s="117"/>
      <c r="O224" s="117"/>
      <c r="P224" s="117"/>
      <c r="Q224" s="117"/>
      <c r="R224" s="117"/>
      <c r="S224" s="117"/>
      <c r="T224" s="117"/>
      <c r="U224" s="74"/>
      <c r="V224" s="74"/>
      <c r="W224" s="74"/>
      <c r="X224" s="74"/>
      <c r="Y224" s="74"/>
      <c r="Z224" s="74"/>
      <c r="AA224" s="74"/>
      <c r="AB224" s="74"/>
      <c r="AC224" s="117"/>
      <c r="AD224" s="117"/>
      <c r="AE224" s="117"/>
      <c r="AF224" s="117"/>
      <c r="AG224" s="117"/>
      <c r="AH224" s="117"/>
      <c r="AI224" s="117"/>
      <c r="AJ224" s="117"/>
      <c r="AK224" s="117"/>
      <c r="AL224" s="117"/>
      <c r="AM224" s="117"/>
      <c r="AN224" s="117"/>
      <c r="AO224" s="117"/>
      <c r="AP224" s="117"/>
      <c r="AQ224" s="117"/>
      <c r="AR224" s="300"/>
      <c r="AS224" s="300"/>
      <c r="AT224" s="86"/>
      <c r="AU224" s="162"/>
      <c r="AV224" s="162"/>
      <c r="AW224" s="162"/>
      <c r="AX224" s="162"/>
      <c r="AY224" s="162"/>
      <c r="BB224" s="45"/>
      <c r="BC224" s="45"/>
      <c r="BD224" s="117"/>
      <c r="BE224" s="117"/>
      <c r="BF224" s="99"/>
      <c r="BG224" s="99"/>
      <c r="BH224" s="74"/>
      <c r="BI224" s="117"/>
      <c r="BJ224" s="117"/>
      <c r="BK224" s="117"/>
      <c r="BL224" s="117"/>
      <c r="BM224" s="117"/>
      <c r="BN224" s="117"/>
      <c r="BO224" s="117"/>
      <c r="BP224" s="117"/>
      <c r="BQ224" s="117"/>
      <c r="BR224" s="117"/>
      <c r="BS224" s="117"/>
      <c r="BT224" s="117"/>
      <c r="BU224" s="117"/>
      <c r="BV224" s="117"/>
      <c r="BW224" s="117"/>
      <c r="BX224" s="102"/>
      <c r="BY224" s="102"/>
      <c r="CD224" s="102"/>
      <c r="CE224" s="102"/>
      <c r="CG224" s="86"/>
      <c r="CH224" s="86"/>
      <c r="CI224" s="86"/>
      <c r="CJ224" s="86"/>
      <c r="CL224" s="63"/>
      <c r="CM224" s="54"/>
      <c r="CN224" s="54"/>
      <c r="CO224" s="54"/>
      <c r="CP224" s="54"/>
      <c r="CQ224" s="86"/>
      <c r="CR224" s="63"/>
      <c r="CS224" s="63"/>
      <c r="CT224" s="63"/>
      <c r="CU224" s="63"/>
      <c r="CV224" s="86"/>
      <c r="CW224" s="86"/>
      <c r="CX224" s="86"/>
      <c r="DF224" s="54"/>
      <c r="DG224" s="54"/>
      <c r="DH224" s="63"/>
      <c r="DI224" s="63"/>
      <c r="DJ224" s="63"/>
      <c r="DK224" s="63"/>
      <c r="DL224" s="63"/>
      <c r="DN224" s="86"/>
      <c r="DO224" s="86"/>
      <c r="DP224" s="86"/>
      <c r="DR224" s="63"/>
      <c r="DW224" s="54"/>
      <c r="DX224" s="54"/>
      <c r="DY224" s="63"/>
      <c r="DZ224" s="63"/>
      <c r="EA224" s="63"/>
      <c r="EB224" s="63"/>
      <c r="EC224" s="63"/>
      <c r="EE224" s="86"/>
      <c r="EF224" s="86"/>
      <c r="EG224" s="86"/>
      <c r="EI224" s="63"/>
      <c r="EN224" s="54"/>
      <c r="EQ224" s="86"/>
      <c r="ER224" s="86"/>
      <c r="EX224" s="54"/>
      <c r="FG224" s="86"/>
      <c r="FL224" s="45"/>
      <c r="FT224" s="63"/>
      <c r="FU224" s="54"/>
      <c r="FV224" s="54"/>
      <c r="FW224" s="54"/>
      <c r="FX224" s="86"/>
      <c r="FY224" s="86"/>
      <c r="FZ224" s="86"/>
      <c r="GA224" s="86"/>
      <c r="GB224" s="86"/>
      <c r="GD224" s="63"/>
      <c r="GE224" s="63"/>
      <c r="GF224" s="63"/>
      <c r="GG224" s="63"/>
      <c r="GH224" s="45"/>
      <c r="GI224" s="54"/>
      <c r="GJ224" s="54"/>
      <c r="GL224" s="86"/>
      <c r="GM224" s="86"/>
      <c r="GR224" s="86"/>
      <c r="GS224" s="86"/>
      <c r="GU224" s="63"/>
      <c r="GV224" s="63"/>
      <c r="GW224" s="63"/>
      <c r="GX224" s="63"/>
      <c r="GZ224" s="63"/>
      <c r="HA224" s="54"/>
      <c r="HD224" s="86"/>
      <c r="HI224" s="86"/>
      <c r="HJ224" s="86"/>
      <c r="HQ224" s="63"/>
      <c r="HR224" s="54"/>
      <c r="HU224" s="86"/>
      <c r="HZ224" s="86"/>
      <c r="IA224" s="86"/>
      <c r="IF224" s="54"/>
      <c r="IK224" s="86"/>
    </row>
    <row r="225" spans="1:245">
      <c r="A225" s="86">
        <v>195</v>
      </c>
      <c r="B225" s="117"/>
      <c r="C225" s="117"/>
      <c r="D225" s="117"/>
      <c r="E225" s="117"/>
      <c r="K225" s="117"/>
      <c r="L225" s="117"/>
      <c r="M225" s="117"/>
      <c r="N225" s="117"/>
      <c r="O225" s="117"/>
      <c r="P225" s="117"/>
      <c r="Q225" s="117"/>
      <c r="R225" s="117"/>
      <c r="S225" s="117"/>
      <c r="T225" s="117"/>
      <c r="U225" s="74"/>
      <c r="V225" s="74"/>
      <c r="W225" s="74"/>
      <c r="X225" s="74"/>
      <c r="Y225" s="74"/>
      <c r="Z225" s="74"/>
      <c r="AA225" s="74"/>
      <c r="AB225" s="74"/>
      <c r="AC225" s="117"/>
      <c r="AD225" s="117"/>
      <c r="AE225" s="117"/>
      <c r="AF225" s="117"/>
      <c r="AG225" s="117"/>
      <c r="AH225" s="117"/>
      <c r="AI225" s="117"/>
      <c r="AJ225" s="117"/>
      <c r="AK225" s="117"/>
      <c r="AL225" s="117"/>
      <c r="AM225" s="117"/>
      <c r="AN225" s="117"/>
      <c r="AO225" s="117"/>
      <c r="AP225" s="117"/>
      <c r="AQ225" s="117"/>
      <c r="AR225" s="300"/>
      <c r="AS225" s="300"/>
      <c r="AT225" s="86"/>
      <c r="AU225" s="162"/>
      <c r="AV225" s="162"/>
      <c r="AW225" s="162"/>
      <c r="AX225" s="162"/>
      <c r="AY225" s="162"/>
      <c r="BB225" s="45"/>
      <c r="BC225" s="45"/>
      <c r="BD225" s="117"/>
      <c r="BE225" s="117"/>
      <c r="BF225" s="99"/>
      <c r="BG225" s="99"/>
      <c r="BH225" s="74"/>
      <c r="BI225" s="117"/>
      <c r="BJ225" s="117"/>
      <c r="BK225" s="117"/>
      <c r="BL225" s="117"/>
      <c r="BM225" s="117"/>
      <c r="BN225" s="117"/>
      <c r="BO225" s="117"/>
      <c r="BP225" s="117"/>
      <c r="BQ225" s="117"/>
      <c r="BR225" s="117"/>
      <c r="BS225" s="117"/>
      <c r="BT225" s="117"/>
      <c r="BU225" s="117"/>
      <c r="BV225" s="117"/>
      <c r="BW225" s="117"/>
      <c r="BX225" s="102"/>
      <c r="BY225" s="102"/>
      <c r="CD225" s="102"/>
      <c r="CE225" s="102"/>
      <c r="CG225" s="86"/>
      <c r="CH225" s="86"/>
      <c r="CI225" s="86"/>
      <c r="CJ225" s="86"/>
      <c r="CL225" s="63"/>
      <c r="CM225" s="54"/>
      <c r="CN225" s="54"/>
      <c r="CO225" s="54"/>
      <c r="CP225" s="54"/>
      <c r="CQ225" s="86"/>
      <c r="CR225" s="63"/>
      <c r="CS225" s="63"/>
      <c r="CT225" s="63"/>
      <c r="CU225" s="63"/>
      <c r="CV225" s="86"/>
      <c r="CW225" s="86"/>
      <c r="CX225" s="86"/>
      <c r="DF225" s="54"/>
      <c r="DG225" s="54"/>
      <c r="DH225" s="63"/>
      <c r="DI225" s="63"/>
      <c r="DJ225" s="63"/>
      <c r="DK225" s="63"/>
      <c r="DL225" s="63"/>
      <c r="DN225" s="86"/>
      <c r="DO225" s="86"/>
      <c r="DP225" s="86"/>
      <c r="DR225" s="63"/>
      <c r="DW225" s="54"/>
      <c r="DX225" s="54"/>
      <c r="DY225" s="63"/>
      <c r="DZ225" s="63"/>
      <c r="EA225" s="63"/>
      <c r="EB225" s="63"/>
      <c r="EC225" s="63"/>
      <c r="EE225" s="86"/>
      <c r="EF225" s="86"/>
      <c r="EG225" s="86"/>
      <c r="EI225" s="63"/>
      <c r="EN225" s="54"/>
      <c r="EQ225" s="86"/>
      <c r="ER225" s="86"/>
      <c r="EX225" s="54"/>
      <c r="FG225" s="86"/>
      <c r="FL225" s="45"/>
      <c r="FT225" s="63"/>
      <c r="FU225" s="54"/>
      <c r="FV225" s="54"/>
      <c r="FW225" s="54"/>
      <c r="FX225" s="86"/>
      <c r="FY225" s="86"/>
      <c r="FZ225" s="86"/>
      <c r="GA225" s="86"/>
      <c r="GB225" s="86"/>
      <c r="GD225" s="63"/>
      <c r="GE225" s="63"/>
      <c r="GF225" s="63"/>
      <c r="GG225" s="63"/>
      <c r="GH225" s="45"/>
      <c r="GI225" s="54"/>
      <c r="GJ225" s="54"/>
      <c r="GL225" s="86"/>
      <c r="GM225" s="86"/>
      <c r="GR225" s="86"/>
      <c r="GS225" s="86"/>
      <c r="GU225" s="63"/>
      <c r="GV225" s="63"/>
      <c r="GW225" s="63"/>
      <c r="GX225" s="63"/>
      <c r="GZ225" s="63"/>
      <c r="HA225" s="54"/>
      <c r="HD225" s="86"/>
      <c r="HI225" s="86"/>
      <c r="HJ225" s="86"/>
      <c r="HQ225" s="63"/>
      <c r="HR225" s="54"/>
      <c r="HU225" s="86"/>
      <c r="HZ225" s="86"/>
      <c r="IA225" s="86"/>
      <c r="IF225" s="54"/>
      <c r="IK225" s="86"/>
    </row>
    <row r="226" spans="1:245">
      <c r="A226" s="86">
        <v>196</v>
      </c>
      <c r="B226" s="117"/>
      <c r="C226" s="117"/>
      <c r="D226" s="117"/>
      <c r="E226" s="117"/>
      <c r="K226" s="117"/>
      <c r="L226" s="117"/>
      <c r="M226" s="117"/>
      <c r="N226" s="117"/>
      <c r="O226" s="117"/>
      <c r="P226" s="117"/>
      <c r="Q226" s="117"/>
      <c r="R226" s="117"/>
      <c r="S226" s="117"/>
      <c r="T226" s="117"/>
      <c r="U226" s="74"/>
      <c r="V226" s="74"/>
      <c r="W226" s="74"/>
      <c r="X226" s="74"/>
      <c r="Y226" s="74"/>
      <c r="Z226" s="74"/>
      <c r="AA226" s="74"/>
      <c r="AB226" s="74"/>
      <c r="AC226" s="117"/>
      <c r="AD226" s="117"/>
      <c r="AE226" s="117"/>
      <c r="AF226" s="117"/>
      <c r="AG226" s="117"/>
      <c r="AH226" s="117"/>
      <c r="AI226" s="117"/>
      <c r="AJ226" s="117"/>
      <c r="AK226" s="117"/>
      <c r="AL226" s="117"/>
      <c r="AM226" s="117"/>
      <c r="AN226" s="117"/>
      <c r="AO226" s="117"/>
      <c r="AP226" s="117"/>
      <c r="AQ226" s="117"/>
      <c r="AR226" s="300"/>
      <c r="AS226" s="300"/>
      <c r="AT226" s="86"/>
      <c r="AU226" s="162"/>
      <c r="AV226" s="162"/>
      <c r="AW226" s="162"/>
      <c r="AX226" s="162"/>
      <c r="AY226" s="162"/>
      <c r="BB226" s="45"/>
      <c r="BC226" s="45"/>
      <c r="BD226" s="117"/>
      <c r="BE226" s="117"/>
      <c r="BF226" s="99"/>
      <c r="BG226" s="99"/>
      <c r="BH226" s="74"/>
      <c r="BI226" s="117"/>
      <c r="BJ226" s="117"/>
      <c r="BK226" s="117"/>
      <c r="BL226" s="117"/>
      <c r="BM226" s="117"/>
      <c r="BN226" s="117"/>
      <c r="BO226" s="117"/>
      <c r="BP226" s="117"/>
      <c r="BQ226" s="117"/>
      <c r="BR226" s="117"/>
      <c r="BS226" s="117"/>
      <c r="BT226" s="117"/>
      <c r="BU226" s="117"/>
      <c r="BV226" s="117"/>
      <c r="BW226" s="117"/>
      <c r="BX226" s="102"/>
      <c r="BY226" s="102"/>
      <c r="CD226" s="102"/>
      <c r="CE226" s="102"/>
      <c r="CG226" s="86"/>
      <c r="CH226" s="86"/>
      <c r="CI226" s="86"/>
      <c r="CJ226" s="86"/>
      <c r="CL226" s="63"/>
      <c r="CM226" s="54"/>
      <c r="CN226" s="54"/>
      <c r="CO226" s="54"/>
      <c r="CP226" s="54"/>
      <c r="CQ226" s="86"/>
      <c r="CR226" s="63"/>
      <c r="CS226" s="63"/>
      <c r="CT226" s="63"/>
      <c r="CU226" s="63"/>
      <c r="CV226" s="86"/>
      <c r="CW226" s="86"/>
      <c r="CX226" s="86"/>
      <c r="DF226" s="54"/>
      <c r="DG226" s="54"/>
      <c r="DH226" s="63"/>
      <c r="DI226" s="63"/>
      <c r="DJ226" s="63"/>
      <c r="DK226" s="63"/>
      <c r="DL226" s="63"/>
      <c r="DN226" s="86"/>
      <c r="DO226" s="86"/>
      <c r="DP226" s="86"/>
      <c r="DR226" s="63"/>
      <c r="DW226" s="54"/>
      <c r="DX226" s="54"/>
      <c r="DY226" s="63"/>
      <c r="DZ226" s="63"/>
      <c r="EA226" s="63"/>
      <c r="EB226" s="63"/>
      <c r="EC226" s="63"/>
      <c r="EE226" s="86"/>
      <c r="EF226" s="86"/>
      <c r="EG226" s="86"/>
      <c r="EI226" s="63"/>
      <c r="EN226" s="54"/>
      <c r="EQ226" s="86"/>
      <c r="ER226" s="86"/>
      <c r="EX226" s="54"/>
      <c r="FG226" s="86"/>
      <c r="FL226" s="45"/>
      <c r="FT226" s="63"/>
      <c r="FU226" s="54"/>
      <c r="FV226" s="54"/>
      <c r="FW226" s="54"/>
      <c r="FX226" s="86"/>
      <c r="FY226" s="86"/>
      <c r="FZ226" s="86"/>
      <c r="GA226" s="86"/>
      <c r="GB226" s="86"/>
      <c r="GD226" s="63"/>
      <c r="GE226" s="63"/>
      <c r="GF226" s="63"/>
      <c r="GG226" s="63"/>
      <c r="GH226" s="45"/>
      <c r="GI226" s="54"/>
      <c r="GJ226" s="54"/>
      <c r="GL226" s="86"/>
      <c r="GM226" s="86"/>
      <c r="GR226" s="86"/>
      <c r="GS226" s="86"/>
      <c r="GU226" s="63"/>
      <c r="GV226" s="63"/>
      <c r="GW226" s="63"/>
      <c r="GX226" s="63"/>
      <c r="GZ226" s="63"/>
      <c r="HA226" s="54"/>
      <c r="HD226" s="86"/>
      <c r="HI226" s="86"/>
      <c r="HJ226" s="86"/>
      <c r="HQ226" s="63"/>
      <c r="HR226" s="54"/>
      <c r="HU226" s="86"/>
      <c r="HZ226" s="86"/>
      <c r="IA226" s="86"/>
      <c r="IF226" s="54"/>
      <c r="IK226" s="86"/>
    </row>
    <row r="227" spans="1:245">
      <c r="A227" s="86">
        <v>197</v>
      </c>
      <c r="B227" s="117"/>
      <c r="C227" s="117"/>
      <c r="D227" s="117"/>
      <c r="E227" s="117"/>
      <c r="K227" s="117"/>
      <c r="L227" s="117"/>
      <c r="M227" s="117"/>
      <c r="N227" s="117"/>
      <c r="O227" s="117"/>
      <c r="P227" s="117"/>
      <c r="Q227" s="117"/>
      <c r="R227" s="117"/>
      <c r="S227" s="117"/>
      <c r="T227" s="117"/>
      <c r="U227" s="74"/>
      <c r="V227" s="74"/>
      <c r="W227" s="74"/>
      <c r="X227" s="74"/>
      <c r="Y227" s="74"/>
      <c r="Z227" s="74"/>
      <c r="AA227" s="74"/>
      <c r="AB227" s="74"/>
      <c r="AC227" s="117"/>
      <c r="AD227" s="117"/>
      <c r="AE227" s="117"/>
      <c r="AF227" s="117"/>
      <c r="AG227" s="117"/>
      <c r="AH227" s="117"/>
      <c r="AI227" s="117"/>
      <c r="AJ227" s="117"/>
      <c r="AK227" s="117"/>
      <c r="AL227" s="117"/>
      <c r="AM227" s="117"/>
      <c r="AN227" s="117"/>
      <c r="AO227" s="117"/>
      <c r="AP227" s="117"/>
      <c r="AQ227" s="117"/>
      <c r="AR227" s="300"/>
      <c r="AS227" s="300"/>
      <c r="AT227" s="86"/>
      <c r="AU227" s="162"/>
      <c r="AV227" s="162"/>
      <c r="AW227" s="162"/>
      <c r="AX227" s="162"/>
      <c r="AY227" s="162"/>
      <c r="BB227" s="45"/>
      <c r="BC227" s="45"/>
      <c r="BD227" s="117"/>
      <c r="BE227" s="117"/>
      <c r="BF227" s="99"/>
      <c r="BG227" s="99"/>
      <c r="BH227" s="74"/>
      <c r="BI227" s="117"/>
      <c r="BJ227" s="117"/>
      <c r="BK227" s="117"/>
      <c r="BL227" s="117"/>
      <c r="BM227" s="117"/>
      <c r="BN227" s="117"/>
      <c r="BO227" s="117"/>
      <c r="BP227" s="117"/>
      <c r="BQ227" s="117"/>
      <c r="BR227" s="117"/>
      <c r="BS227" s="117"/>
      <c r="BT227" s="117"/>
      <c r="BU227" s="117"/>
      <c r="BV227" s="117"/>
      <c r="BW227" s="117"/>
      <c r="BX227" s="102"/>
      <c r="BY227" s="102"/>
      <c r="CD227" s="102"/>
      <c r="CE227" s="102"/>
      <c r="CG227" s="86"/>
      <c r="CH227" s="86"/>
      <c r="CI227" s="86"/>
      <c r="CJ227" s="86"/>
      <c r="CL227" s="63"/>
      <c r="CM227" s="54"/>
      <c r="CN227" s="54"/>
      <c r="CO227" s="54"/>
      <c r="CP227" s="54"/>
      <c r="CQ227" s="86"/>
      <c r="CR227" s="63"/>
      <c r="CS227" s="63"/>
      <c r="CT227" s="63"/>
      <c r="CU227" s="63"/>
      <c r="CV227" s="86"/>
      <c r="CW227" s="86"/>
      <c r="CX227" s="86"/>
      <c r="DF227" s="54"/>
      <c r="DG227" s="54"/>
      <c r="DH227" s="63"/>
      <c r="DI227" s="63"/>
      <c r="DJ227" s="63"/>
      <c r="DK227" s="63"/>
      <c r="DL227" s="63"/>
      <c r="DN227" s="86"/>
      <c r="DO227" s="86"/>
      <c r="DP227" s="86"/>
      <c r="DR227" s="63"/>
      <c r="DW227" s="54"/>
      <c r="DX227" s="54"/>
      <c r="DY227" s="63"/>
      <c r="DZ227" s="63"/>
      <c r="EA227" s="63"/>
      <c r="EB227" s="63"/>
      <c r="EC227" s="63"/>
      <c r="EE227" s="86"/>
      <c r="EF227" s="86"/>
      <c r="EG227" s="86"/>
      <c r="EI227" s="63"/>
      <c r="EN227" s="54"/>
      <c r="EQ227" s="86"/>
      <c r="ER227" s="86"/>
      <c r="EX227" s="54"/>
      <c r="FG227" s="86"/>
      <c r="FL227" s="45"/>
      <c r="FT227" s="63"/>
      <c r="FU227" s="54"/>
      <c r="FV227" s="54"/>
      <c r="FW227" s="54"/>
      <c r="FX227" s="86"/>
      <c r="FY227" s="86"/>
      <c r="FZ227" s="86"/>
      <c r="GA227" s="86"/>
      <c r="GB227" s="86"/>
      <c r="GD227" s="63"/>
      <c r="GE227" s="63"/>
      <c r="GF227" s="63"/>
      <c r="GG227" s="63"/>
      <c r="GH227" s="45"/>
      <c r="GI227" s="54"/>
      <c r="GJ227" s="54"/>
      <c r="GL227" s="86"/>
      <c r="GM227" s="86"/>
      <c r="GR227" s="86"/>
      <c r="GS227" s="86"/>
      <c r="GU227" s="63"/>
      <c r="GV227" s="63"/>
      <c r="GW227" s="63"/>
      <c r="GX227" s="63"/>
      <c r="GZ227" s="63"/>
      <c r="HA227" s="54"/>
      <c r="HD227" s="86"/>
      <c r="HI227" s="86"/>
      <c r="HJ227" s="86"/>
      <c r="HQ227" s="63"/>
      <c r="HR227" s="54"/>
      <c r="HU227" s="86"/>
      <c r="HZ227" s="86"/>
      <c r="IA227" s="86"/>
      <c r="IF227" s="54"/>
      <c r="IK227" s="86"/>
    </row>
    <row r="228" spans="1:245">
      <c r="A228" s="86">
        <v>198</v>
      </c>
      <c r="B228" s="117"/>
      <c r="C228" s="117"/>
      <c r="D228" s="117"/>
      <c r="E228" s="117"/>
      <c r="K228" s="117"/>
      <c r="L228" s="117"/>
      <c r="M228" s="117"/>
      <c r="N228" s="117"/>
      <c r="O228" s="117"/>
      <c r="P228" s="117"/>
      <c r="Q228" s="117"/>
      <c r="R228" s="117"/>
      <c r="S228" s="117"/>
      <c r="T228" s="117"/>
      <c r="U228" s="74"/>
      <c r="V228" s="74"/>
      <c r="W228" s="74"/>
      <c r="X228" s="74"/>
      <c r="Y228" s="74"/>
      <c r="Z228" s="74"/>
      <c r="AA228" s="74"/>
      <c r="AB228" s="74"/>
      <c r="AC228" s="117"/>
      <c r="AD228" s="117"/>
      <c r="AE228" s="117"/>
      <c r="AF228" s="117"/>
      <c r="AG228" s="117"/>
      <c r="AH228" s="117"/>
      <c r="AI228" s="117"/>
      <c r="AJ228" s="117"/>
      <c r="AK228" s="117"/>
      <c r="AL228" s="117"/>
      <c r="AM228" s="117"/>
      <c r="AN228" s="117"/>
      <c r="AO228" s="117"/>
      <c r="AP228" s="117"/>
      <c r="AQ228" s="117"/>
      <c r="AR228" s="300"/>
      <c r="AS228" s="300"/>
      <c r="AT228" s="86"/>
      <c r="AU228" s="162"/>
      <c r="AV228" s="162"/>
      <c r="AW228" s="162"/>
      <c r="AX228" s="162"/>
      <c r="AY228" s="162"/>
      <c r="BB228" s="45"/>
      <c r="BC228" s="45"/>
      <c r="BD228" s="117"/>
      <c r="BE228" s="117"/>
      <c r="BF228" s="99"/>
      <c r="BG228" s="99"/>
      <c r="BH228" s="74"/>
      <c r="BI228" s="117"/>
      <c r="BJ228" s="117"/>
      <c r="BK228" s="117"/>
      <c r="BL228" s="117"/>
      <c r="BM228" s="117"/>
      <c r="BN228" s="117"/>
      <c r="BO228" s="117"/>
      <c r="BP228" s="117"/>
      <c r="BQ228" s="117"/>
      <c r="BR228" s="117"/>
      <c r="BS228" s="117"/>
      <c r="BT228" s="117"/>
      <c r="BU228" s="117"/>
      <c r="BV228" s="117"/>
      <c r="BW228" s="117"/>
      <c r="BX228" s="102"/>
      <c r="BY228" s="102"/>
      <c r="CD228" s="102"/>
      <c r="CE228" s="102"/>
      <c r="CG228" s="86"/>
      <c r="CH228" s="86"/>
      <c r="CI228" s="86"/>
      <c r="CJ228" s="86"/>
      <c r="CL228" s="63"/>
      <c r="CM228" s="54"/>
      <c r="CN228" s="54"/>
      <c r="CO228" s="54"/>
      <c r="CP228" s="54"/>
      <c r="CQ228" s="86"/>
      <c r="CR228" s="63"/>
      <c r="CS228" s="63"/>
      <c r="CT228" s="63"/>
      <c r="CU228" s="63"/>
      <c r="CV228" s="86"/>
      <c r="CW228" s="86"/>
      <c r="CX228" s="86"/>
      <c r="DF228" s="54"/>
      <c r="DG228" s="54"/>
      <c r="DH228" s="63"/>
      <c r="DI228" s="63"/>
      <c r="DJ228" s="63"/>
      <c r="DK228" s="63"/>
      <c r="DL228" s="63"/>
      <c r="DN228" s="86"/>
      <c r="DO228" s="86"/>
      <c r="DP228" s="86"/>
      <c r="DR228" s="63"/>
      <c r="DW228" s="54"/>
      <c r="DX228" s="54"/>
      <c r="DY228" s="63"/>
      <c r="DZ228" s="63"/>
      <c r="EA228" s="63"/>
      <c r="EB228" s="63"/>
      <c r="EC228" s="63"/>
      <c r="EE228" s="86"/>
      <c r="EF228" s="86"/>
      <c r="EG228" s="86"/>
      <c r="EI228" s="63"/>
      <c r="EN228" s="54"/>
      <c r="EQ228" s="86"/>
      <c r="ER228" s="86"/>
      <c r="EX228" s="54"/>
      <c r="FG228" s="86"/>
      <c r="FL228" s="45"/>
      <c r="FT228" s="63"/>
      <c r="FU228" s="54"/>
      <c r="FV228" s="54"/>
      <c r="FW228" s="54"/>
      <c r="FX228" s="86"/>
      <c r="FY228" s="86"/>
      <c r="FZ228" s="86"/>
      <c r="GA228" s="86"/>
      <c r="GB228" s="86"/>
      <c r="GD228" s="63"/>
      <c r="GE228" s="63"/>
      <c r="GF228" s="63"/>
      <c r="GG228" s="63"/>
      <c r="GH228" s="45"/>
      <c r="GI228" s="54"/>
      <c r="GJ228" s="54"/>
      <c r="GL228" s="86"/>
      <c r="GM228" s="86"/>
      <c r="GR228" s="86"/>
      <c r="GS228" s="86"/>
      <c r="GU228" s="63"/>
      <c r="GV228" s="63"/>
      <c r="GW228" s="63"/>
      <c r="GX228" s="63"/>
      <c r="GZ228" s="63"/>
      <c r="HA228" s="54"/>
      <c r="HD228" s="86"/>
      <c r="HI228" s="86"/>
      <c r="HJ228" s="86"/>
      <c r="HQ228" s="63"/>
      <c r="HR228" s="54"/>
      <c r="HU228" s="86"/>
      <c r="HZ228" s="86"/>
      <c r="IA228" s="86"/>
      <c r="IF228" s="54"/>
      <c r="IK228" s="86"/>
    </row>
    <row r="229" spans="1:245">
      <c r="A229" s="86">
        <v>199</v>
      </c>
      <c r="B229" s="117"/>
      <c r="C229" s="117"/>
      <c r="D229" s="117"/>
      <c r="E229" s="117"/>
      <c r="K229" s="117"/>
      <c r="L229" s="117"/>
      <c r="M229" s="117"/>
      <c r="N229" s="117"/>
      <c r="O229" s="117"/>
      <c r="P229" s="117"/>
      <c r="Q229" s="117"/>
      <c r="R229" s="117"/>
      <c r="S229" s="117"/>
      <c r="T229" s="117"/>
      <c r="U229" s="74"/>
      <c r="V229" s="74"/>
      <c r="W229" s="74"/>
      <c r="X229" s="74"/>
      <c r="Y229" s="74"/>
      <c r="Z229" s="74"/>
      <c r="AA229" s="74"/>
      <c r="AB229" s="74"/>
      <c r="AC229" s="117"/>
      <c r="AD229" s="117"/>
      <c r="AE229" s="117"/>
      <c r="AF229" s="117"/>
      <c r="AG229" s="117"/>
      <c r="AH229" s="117"/>
      <c r="AI229" s="117"/>
      <c r="AJ229" s="117"/>
      <c r="AK229" s="117"/>
      <c r="AL229" s="117"/>
      <c r="AM229" s="117"/>
      <c r="AN229" s="117"/>
      <c r="AO229" s="117"/>
      <c r="AP229" s="117"/>
      <c r="AQ229" s="117"/>
      <c r="AR229" s="300"/>
      <c r="AS229" s="300"/>
      <c r="AT229" s="86"/>
      <c r="AU229" s="162"/>
      <c r="AV229" s="162"/>
      <c r="AW229" s="162"/>
      <c r="AX229" s="162"/>
      <c r="AY229" s="162"/>
      <c r="BB229" s="45"/>
      <c r="BC229" s="45"/>
      <c r="BD229" s="117"/>
      <c r="BE229" s="117"/>
      <c r="BF229" s="99"/>
      <c r="BG229" s="99"/>
      <c r="BH229" s="74"/>
      <c r="BI229" s="117"/>
      <c r="BJ229" s="117"/>
      <c r="BK229" s="117"/>
      <c r="BL229" s="117"/>
      <c r="BM229" s="117"/>
      <c r="BN229" s="117"/>
      <c r="BO229" s="117"/>
      <c r="BP229" s="117"/>
      <c r="BQ229" s="117"/>
      <c r="BR229" s="117"/>
      <c r="BS229" s="117"/>
      <c r="BT229" s="117"/>
      <c r="BU229" s="117"/>
      <c r="BV229" s="117"/>
      <c r="BW229" s="117"/>
      <c r="BX229" s="102"/>
      <c r="BY229" s="102"/>
      <c r="CD229" s="102"/>
      <c r="CE229" s="102"/>
      <c r="CG229" s="86"/>
      <c r="CH229" s="86"/>
      <c r="CI229" s="86"/>
      <c r="CJ229" s="86"/>
      <c r="CL229" s="63"/>
      <c r="CM229" s="54"/>
      <c r="CN229" s="54"/>
      <c r="CO229" s="54"/>
      <c r="CP229" s="54"/>
      <c r="CQ229" s="86"/>
      <c r="CR229" s="63"/>
      <c r="CS229" s="63"/>
      <c r="CT229" s="63"/>
      <c r="CU229" s="63"/>
      <c r="CV229" s="86"/>
      <c r="CW229" s="86"/>
      <c r="CX229" s="86"/>
      <c r="DF229" s="54"/>
      <c r="DG229" s="54"/>
      <c r="DH229" s="63"/>
      <c r="DI229" s="63"/>
      <c r="DJ229" s="63"/>
      <c r="DK229" s="63"/>
      <c r="DL229" s="63"/>
      <c r="DN229" s="86"/>
      <c r="DO229" s="86"/>
      <c r="DP229" s="86"/>
      <c r="DR229" s="63"/>
      <c r="DW229" s="54"/>
      <c r="DX229" s="54"/>
      <c r="DY229" s="63"/>
      <c r="DZ229" s="63"/>
      <c r="EA229" s="63"/>
      <c r="EB229" s="63"/>
      <c r="EC229" s="63"/>
      <c r="EE229" s="86"/>
      <c r="EF229" s="86"/>
      <c r="EG229" s="86"/>
      <c r="EI229" s="63"/>
      <c r="EN229" s="54"/>
      <c r="EQ229" s="86"/>
      <c r="ER229" s="86"/>
      <c r="EX229" s="54"/>
      <c r="FG229" s="86"/>
      <c r="FL229" s="45"/>
      <c r="FT229" s="63"/>
      <c r="FU229" s="54"/>
      <c r="FV229" s="54"/>
      <c r="FW229" s="54"/>
      <c r="FX229" s="86"/>
      <c r="FY229" s="86"/>
      <c r="FZ229" s="86"/>
      <c r="GA229" s="86"/>
      <c r="GB229" s="86"/>
      <c r="GD229" s="63"/>
      <c r="GE229" s="63"/>
      <c r="GF229" s="63"/>
      <c r="GG229" s="63"/>
      <c r="GH229" s="45"/>
      <c r="GI229" s="54"/>
      <c r="GJ229" s="54"/>
      <c r="GL229" s="86"/>
      <c r="GM229" s="86"/>
      <c r="GR229" s="86"/>
      <c r="GS229" s="86"/>
      <c r="GU229" s="63"/>
      <c r="GV229" s="63"/>
      <c r="GW229" s="63"/>
      <c r="GX229" s="63"/>
      <c r="GZ229" s="63"/>
      <c r="HA229" s="54"/>
      <c r="HD229" s="86"/>
      <c r="HI229" s="86"/>
      <c r="HJ229" s="86"/>
      <c r="HQ229" s="63"/>
      <c r="HR229" s="54"/>
      <c r="HU229" s="86"/>
      <c r="HZ229" s="86"/>
      <c r="IA229" s="86"/>
      <c r="IF229" s="54"/>
      <c r="IK229" s="86"/>
    </row>
    <row r="230" spans="1:245">
      <c r="A230" s="86">
        <v>200</v>
      </c>
      <c r="B230" s="117"/>
      <c r="C230" s="117"/>
      <c r="D230" s="117"/>
      <c r="E230" s="117"/>
      <c r="K230" s="117"/>
      <c r="L230" s="117"/>
      <c r="M230" s="117"/>
      <c r="N230" s="117"/>
      <c r="O230" s="117"/>
      <c r="P230" s="117"/>
      <c r="Q230" s="117"/>
      <c r="R230" s="117"/>
      <c r="S230" s="117"/>
      <c r="T230" s="117"/>
      <c r="U230" s="74"/>
      <c r="V230" s="74"/>
      <c r="W230" s="74"/>
      <c r="X230" s="74"/>
      <c r="Y230" s="74"/>
      <c r="Z230" s="74"/>
      <c r="AA230" s="74"/>
      <c r="AB230" s="74"/>
      <c r="AC230" s="117"/>
      <c r="AD230" s="117"/>
      <c r="AE230" s="117"/>
      <c r="AF230" s="117"/>
      <c r="AG230" s="117"/>
      <c r="AH230" s="117"/>
      <c r="AI230" s="117"/>
      <c r="AJ230" s="117"/>
      <c r="AK230" s="117"/>
      <c r="AL230" s="117"/>
      <c r="AM230" s="117"/>
      <c r="AN230" s="117"/>
      <c r="AO230" s="117"/>
      <c r="AP230" s="117"/>
      <c r="AQ230" s="117"/>
      <c r="AR230" s="300"/>
      <c r="AS230" s="300"/>
      <c r="AT230" s="86"/>
      <c r="AU230" s="162"/>
      <c r="AV230" s="162"/>
      <c r="AW230" s="162"/>
      <c r="AX230" s="162"/>
      <c r="AY230" s="162"/>
      <c r="BB230" s="45"/>
      <c r="BC230" s="45"/>
      <c r="BD230" s="117"/>
      <c r="BE230" s="117"/>
      <c r="BF230" s="99"/>
      <c r="BG230" s="99"/>
      <c r="BH230" s="74"/>
      <c r="BI230" s="117"/>
      <c r="BJ230" s="117"/>
      <c r="BK230" s="117"/>
      <c r="BL230" s="117"/>
      <c r="BM230" s="117"/>
      <c r="BN230" s="117"/>
      <c r="BO230" s="117"/>
      <c r="BP230" s="117"/>
      <c r="BQ230" s="117"/>
      <c r="BR230" s="117"/>
      <c r="BS230" s="117"/>
      <c r="BT230" s="117"/>
      <c r="BU230" s="117"/>
      <c r="BV230" s="117"/>
      <c r="BW230" s="117"/>
      <c r="BX230" s="102"/>
      <c r="BY230" s="102"/>
      <c r="CD230" s="102"/>
      <c r="CE230" s="102"/>
      <c r="CG230" s="86"/>
      <c r="CH230" s="86"/>
      <c r="CI230" s="86"/>
      <c r="CJ230" s="86"/>
      <c r="CL230" s="63"/>
      <c r="CM230" s="54"/>
      <c r="CN230" s="54"/>
      <c r="CO230" s="54"/>
      <c r="CP230" s="54"/>
      <c r="CQ230" s="86"/>
      <c r="CR230" s="63"/>
      <c r="CS230" s="63"/>
      <c r="CT230" s="63"/>
      <c r="CU230" s="63"/>
      <c r="CV230" s="86"/>
      <c r="CW230" s="86"/>
      <c r="CX230" s="86"/>
      <c r="DF230" s="54"/>
      <c r="DG230" s="54"/>
      <c r="DH230" s="63"/>
      <c r="DI230" s="63"/>
      <c r="DJ230" s="63"/>
      <c r="DK230" s="63"/>
      <c r="DL230" s="63"/>
      <c r="DN230" s="86"/>
      <c r="DO230" s="86"/>
      <c r="DP230" s="86"/>
      <c r="DR230" s="63"/>
      <c r="DW230" s="54"/>
      <c r="DX230" s="54"/>
      <c r="DY230" s="63"/>
      <c r="DZ230" s="63"/>
      <c r="EA230" s="63"/>
      <c r="EB230" s="63"/>
      <c r="EC230" s="63"/>
      <c r="EE230" s="86"/>
      <c r="EF230" s="86"/>
      <c r="EG230" s="86"/>
      <c r="EI230" s="63"/>
      <c r="EN230" s="54"/>
      <c r="EQ230" s="86"/>
      <c r="ER230" s="86"/>
      <c r="EX230" s="54"/>
      <c r="FG230" s="86"/>
      <c r="FL230" s="45"/>
      <c r="FT230" s="63"/>
      <c r="FU230" s="54"/>
      <c r="FV230" s="54"/>
      <c r="FW230" s="54"/>
      <c r="FX230" s="86"/>
      <c r="FY230" s="86"/>
      <c r="FZ230" s="86"/>
      <c r="GA230" s="86"/>
      <c r="GB230" s="86"/>
      <c r="GD230" s="63"/>
      <c r="GE230" s="63"/>
      <c r="GF230" s="63"/>
      <c r="GG230" s="63"/>
      <c r="GH230" s="45"/>
      <c r="GI230" s="54"/>
      <c r="GJ230" s="54"/>
      <c r="GL230" s="86"/>
      <c r="GM230" s="86"/>
      <c r="GR230" s="86"/>
      <c r="GS230" s="86"/>
      <c r="GU230" s="63"/>
      <c r="GV230" s="63"/>
      <c r="GW230" s="63"/>
      <c r="GX230" s="63"/>
      <c r="GZ230" s="63"/>
      <c r="HA230" s="54"/>
      <c r="HD230" s="86"/>
      <c r="HI230" s="86"/>
      <c r="HJ230" s="86"/>
      <c r="HQ230" s="63"/>
      <c r="HR230" s="54"/>
      <c r="HU230" s="86"/>
      <c r="HZ230" s="86"/>
      <c r="IA230" s="86"/>
      <c r="IF230" s="54"/>
      <c r="IK230" s="86"/>
    </row>
    <row r="231" spans="1:245">
      <c r="A231" s="86">
        <v>201</v>
      </c>
      <c r="B231" s="117"/>
      <c r="C231" s="117"/>
      <c r="D231" s="117"/>
      <c r="E231" s="117"/>
      <c r="K231" s="117"/>
      <c r="L231" s="117"/>
      <c r="M231" s="117"/>
      <c r="N231" s="117"/>
      <c r="O231" s="117"/>
      <c r="P231" s="117"/>
      <c r="Q231" s="117"/>
      <c r="R231" s="117"/>
      <c r="S231" s="117"/>
      <c r="T231" s="117"/>
      <c r="U231" s="74"/>
      <c r="V231" s="74"/>
      <c r="W231" s="74"/>
      <c r="X231" s="74"/>
      <c r="Y231" s="74"/>
      <c r="Z231" s="74"/>
      <c r="AA231" s="74"/>
      <c r="AB231" s="74"/>
      <c r="AC231" s="117"/>
      <c r="AD231" s="117"/>
      <c r="AE231" s="117"/>
      <c r="AF231" s="117"/>
      <c r="AG231" s="117"/>
      <c r="AH231" s="117"/>
      <c r="AI231" s="117"/>
      <c r="AJ231" s="117"/>
      <c r="AK231" s="117"/>
      <c r="AL231" s="117"/>
      <c r="AM231" s="117"/>
      <c r="AN231" s="117"/>
      <c r="AO231" s="117"/>
      <c r="AP231" s="117"/>
      <c r="AQ231" s="117"/>
      <c r="AR231" s="300"/>
      <c r="AS231" s="300"/>
      <c r="AT231" s="86"/>
      <c r="AU231" s="162"/>
      <c r="AV231" s="162"/>
      <c r="AW231" s="162"/>
      <c r="AX231" s="162"/>
      <c r="AY231" s="162"/>
      <c r="BB231" s="45"/>
      <c r="BC231" s="45"/>
      <c r="BD231" s="117"/>
      <c r="BE231" s="117"/>
      <c r="BF231" s="99"/>
      <c r="BG231" s="99"/>
      <c r="BH231" s="74"/>
      <c r="BI231" s="117"/>
      <c r="BJ231" s="117"/>
      <c r="BK231" s="117"/>
      <c r="BL231" s="117"/>
      <c r="BM231" s="117"/>
      <c r="BN231" s="117"/>
      <c r="BO231" s="117"/>
      <c r="BP231" s="117"/>
      <c r="BQ231" s="117"/>
      <c r="BR231" s="117"/>
      <c r="BS231" s="117"/>
      <c r="BT231" s="117"/>
      <c r="BU231" s="117"/>
      <c r="BV231" s="117"/>
      <c r="BW231" s="117"/>
      <c r="BX231" s="102"/>
      <c r="BY231" s="102"/>
      <c r="CD231" s="102"/>
      <c r="CE231" s="102"/>
      <c r="CG231" s="86"/>
      <c r="CH231" s="86"/>
      <c r="CI231" s="86"/>
      <c r="CJ231" s="86"/>
      <c r="CL231" s="63"/>
      <c r="CM231" s="54"/>
      <c r="CN231" s="54"/>
      <c r="CO231" s="54"/>
      <c r="CP231" s="54"/>
      <c r="CQ231" s="86"/>
      <c r="CR231" s="63"/>
      <c r="CS231" s="63"/>
      <c r="CT231" s="63"/>
      <c r="CU231" s="63"/>
      <c r="CV231" s="86"/>
      <c r="CW231" s="86"/>
      <c r="CX231" s="86"/>
      <c r="DF231" s="54"/>
      <c r="DG231" s="54"/>
      <c r="DH231" s="63"/>
      <c r="DI231" s="63"/>
      <c r="DJ231" s="63"/>
      <c r="DK231" s="63"/>
      <c r="DL231" s="63"/>
      <c r="DN231" s="86"/>
      <c r="DO231" s="86"/>
      <c r="DP231" s="86"/>
      <c r="DR231" s="63"/>
      <c r="DW231" s="54"/>
      <c r="DX231" s="54"/>
      <c r="DY231" s="63"/>
      <c r="DZ231" s="63"/>
      <c r="EA231" s="63"/>
      <c r="EB231" s="63"/>
      <c r="EC231" s="63"/>
      <c r="EE231" s="86"/>
      <c r="EF231" s="86"/>
      <c r="EG231" s="86"/>
      <c r="EI231" s="63"/>
      <c r="EN231" s="54"/>
      <c r="EQ231" s="86"/>
      <c r="ER231" s="86"/>
      <c r="EX231" s="54"/>
      <c r="FG231" s="86"/>
      <c r="FL231" s="45"/>
      <c r="FT231" s="63"/>
      <c r="FU231" s="54"/>
      <c r="FV231" s="54"/>
      <c r="FW231" s="54"/>
      <c r="FX231" s="86"/>
      <c r="FY231" s="86"/>
      <c r="FZ231" s="86"/>
      <c r="GA231" s="86"/>
      <c r="GB231" s="86"/>
      <c r="GD231" s="63"/>
      <c r="GE231" s="63"/>
      <c r="GF231" s="63"/>
      <c r="GG231" s="63"/>
      <c r="GH231" s="45"/>
      <c r="GI231" s="54"/>
      <c r="GJ231" s="54"/>
      <c r="GL231" s="86"/>
      <c r="GM231" s="86"/>
      <c r="GR231" s="86"/>
      <c r="GS231" s="86"/>
      <c r="GU231" s="63"/>
      <c r="GV231" s="63"/>
      <c r="GW231" s="63"/>
      <c r="GX231" s="63"/>
      <c r="GZ231" s="63"/>
      <c r="HA231" s="54"/>
      <c r="HD231" s="86"/>
      <c r="HI231" s="86"/>
      <c r="HJ231" s="86"/>
      <c r="HQ231" s="63"/>
      <c r="HR231" s="54"/>
      <c r="HU231" s="86"/>
      <c r="HZ231" s="86"/>
      <c r="IA231" s="86"/>
      <c r="IF231" s="54"/>
      <c r="IK231" s="86"/>
    </row>
    <row r="232" spans="1:245">
      <c r="A232" s="86">
        <v>202</v>
      </c>
      <c r="B232" s="117"/>
      <c r="C232" s="117"/>
      <c r="D232" s="117"/>
      <c r="E232" s="117"/>
      <c r="K232" s="117"/>
      <c r="L232" s="117"/>
      <c r="M232" s="117"/>
      <c r="N232" s="117"/>
      <c r="O232" s="117"/>
      <c r="P232" s="117"/>
      <c r="Q232" s="117"/>
      <c r="R232" s="117"/>
      <c r="S232" s="117"/>
      <c r="T232" s="117"/>
      <c r="U232" s="74"/>
      <c r="V232" s="74"/>
      <c r="W232" s="74"/>
      <c r="X232" s="74"/>
      <c r="Y232" s="74"/>
      <c r="Z232" s="74"/>
      <c r="AA232" s="74"/>
      <c r="AB232" s="74"/>
      <c r="AC232" s="117"/>
      <c r="AD232" s="117"/>
      <c r="AE232" s="117"/>
      <c r="AF232" s="117"/>
      <c r="AG232" s="117"/>
      <c r="AH232" s="117"/>
      <c r="AI232" s="117"/>
      <c r="AJ232" s="117"/>
      <c r="AK232" s="117"/>
      <c r="AL232" s="117"/>
      <c r="AM232" s="117"/>
      <c r="AN232" s="117"/>
      <c r="AO232" s="117"/>
      <c r="AP232" s="117"/>
      <c r="AQ232" s="117"/>
      <c r="AR232" s="300"/>
      <c r="AS232" s="300"/>
      <c r="AT232" s="86"/>
      <c r="AU232" s="162"/>
      <c r="AV232" s="162"/>
      <c r="AW232" s="162"/>
      <c r="AX232" s="162"/>
      <c r="AY232" s="162"/>
      <c r="BB232" s="45"/>
      <c r="BC232" s="45"/>
      <c r="BD232" s="117"/>
      <c r="BE232" s="117"/>
      <c r="BF232" s="99"/>
      <c r="BG232" s="99"/>
      <c r="BH232" s="74"/>
      <c r="BI232" s="117"/>
      <c r="BJ232" s="117"/>
      <c r="BK232" s="117"/>
      <c r="BL232" s="117"/>
      <c r="BM232" s="117"/>
      <c r="BN232" s="117"/>
      <c r="BO232" s="117"/>
      <c r="BP232" s="117"/>
      <c r="BQ232" s="117"/>
      <c r="BR232" s="117"/>
      <c r="BS232" s="117"/>
      <c r="BT232" s="117"/>
      <c r="BU232" s="117"/>
      <c r="BV232" s="117"/>
      <c r="BW232" s="117"/>
      <c r="BX232" s="102"/>
      <c r="BY232" s="102"/>
      <c r="CD232" s="102"/>
      <c r="CE232" s="102"/>
      <c r="CG232" s="86"/>
      <c r="CH232" s="86"/>
      <c r="CI232" s="86"/>
      <c r="CJ232" s="86"/>
      <c r="CL232" s="63"/>
      <c r="CM232" s="54"/>
      <c r="CN232" s="54"/>
      <c r="CO232" s="54"/>
      <c r="CP232" s="54"/>
      <c r="CQ232" s="86"/>
      <c r="CR232" s="63"/>
      <c r="CS232" s="63"/>
      <c r="CT232" s="63"/>
      <c r="CU232" s="63"/>
      <c r="CV232" s="86"/>
      <c r="CW232" s="86"/>
      <c r="CX232" s="86"/>
      <c r="DF232" s="54"/>
      <c r="DG232" s="54"/>
      <c r="DH232" s="63"/>
      <c r="DI232" s="63"/>
      <c r="DJ232" s="63"/>
      <c r="DK232" s="63"/>
      <c r="DL232" s="63"/>
      <c r="DN232" s="86"/>
      <c r="DO232" s="86"/>
      <c r="DP232" s="86"/>
      <c r="DR232" s="63"/>
      <c r="DW232" s="54"/>
      <c r="DX232" s="54"/>
      <c r="DY232" s="63"/>
      <c r="DZ232" s="63"/>
      <c r="EA232" s="63"/>
      <c r="EB232" s="63"/>
      <c r="EC232" s="63"/>
      <c r="EE232" s="86"/>
      <c r="EF232" s="86"/>
      <c r="EG232" s="86"/>
      <c r="EI232" s="63"/>
      <c r="EN232" s="54"/>
      <c r="EQ232" s="86"/>
      <c r="ER232" s="86"/>
      <c r="EX232" s="54"/>
      <c r="FG232" s="86"/>
      <c r="FL232" s="45"/>
      <c r="FT232" s="63"/>
      <c r="FU232" s="54"/>
      <c r="FV232" s="54"/>
      <c r="FW232" s="54"/>
      <c r="FX232" s="86"/>
      <c r="FY232" s="86"/>
      <c r="FZ232" s="86"/>
      <c r="GA232" s="86"/>
      <c r="GB232" s="86"/>
      <c r="GD232" s="63"/>
      <c r="GE232" s="63"/>
      <c r="GF232" s="63"/>
      <c r="GG232" s="63"/>
      <c r="GH232" s="45"/>
      <c r="GI232" s="54"/>
      <c r="GJ232" s="54"/>
      <c r="GL232" s="86"/>
      <c r="GM232" s="86"/>
      <c r="GR232" s="86"/>
      <c r="GS232" s="86"/>
      <c r="GU232" s="63"/>
      <c r="GV232" s="63"/>
      <c r="GW232" s="63"/>
      <c r="GX232" s="63"/>
      <c r="GZ232" s="63"/>
      <c r="HA232" s="54"/>
      <c r="HD232" s="86"/>
      <c r="HI232" s="86"/>
      <c r="HJ232" s="86"/>
      <c r="HQ232" s="63"/>
      <c r="HR232" s="54"/>
      <c r="HU232" s="86"/>
      <c r="HZ232" s="86"/>
      <c r="IA232" s="86"/>
      <c r="IF232" s="54"/>
      <c r="IK232" s="86"/>
    </row>
    <row r="233" spans="1:245">
      <c r="A233" s="86">
        <v>203</v>
      </c>
      <c r="B233" s="117"/>
      <c r="C233" s="117"/>
      <c r="D233" s="117"/>
      <c r="E233" s="117"/>
      <c r="K233" s="117"/>
      <c r="L233" s="117"/>
      <c r="M233" s="117"/>
      <c r="N233" s="117"/>
      <c r="O233" s="117"/>
      <c r="P233" s="117"/>
      <c r="Q233" s="117"/>
      <c r="R233" s="117"/>
      <c r="S233" s="117"/>
      <c r="T233" s="117"/>
      <c r="U233" s="74"/>
      <c r="V233" s="74"/>
      <c r="W233" s="74"/>
      <c r="X233" s="74"/>
      <c r="Y233" s="74"/>
      <c r="Z233" s="74"/>
      <c r="AA233" s="74"/>
      <c r="AB233" s="74"/>
      <c r="AC233" s="117"/>
      <c r="AD233" s="117"/>
      <c r="AE233" s="117"/>
      <c r="AF233" s="117"/>
      <c r="AG233" s="117"/>
      <c r="AH233" s="117"/>
      <c r="AI233" s="117"/>
      <c r="AJ233" s="117"/>
      <c r="AK233" s="117"/>
      <c r="AL233" s="117"/>
      <c r="AM233" s="117"/>
      <c r="AN233" s="117"/>
      <c r="AO233" s="117"/>
      <c r="AP233" s="117"/>
      <c r="AQ233" s="117"/>
      <c r="AR233" s="300"/>
      <c r="AS233" s="300"/>
      <c r="AT233" s="86"/>
      <c r="AU233" s="162"/>
      <c r="AV233" s="162"/>
      <c r="AW233" s="162"/>
      <c r="AX233" s="162"/>
      <c r="AY233" s="162"/>
      <c r="BB233" s="45"/>
      <c r="BC233" s="45"/>
      <c r="BD233" s="117"/>
      <c r="BE233" s="117"/>
      <c r="BF233" s="99"/>
      <c r="BG233" s="99"/>
      <c r="BH233" s="74"/>
      <c r="BI233" s="117"/>
      <c r="BJ233" s="117"/>
      <c r="BK233" s="117"/>
      <c r="BL233" s="117"/>
      <c r="BM233" s="117"/>
      <c r="BN233" s="117"/>
      <c r="BO233" s="117"/>
      <c r="BP233" s="117"/>
      <c r="BQ233" s="117"/>
      <c r="BR233" s="117"/>
      <c r="BS233" s="117"/>
      <c r="BT233" s="117"/>
      <c r="BU233" s="117"/>
      <c r="BV233" s="117"/>
      <c r="BW233" s="117"/>
      <c r="BX233" s="102"/>
      <c r="BY233" s="102"/>
      <c r="CD233" s="102"/>
      <c r="CE233" s="102"/>
      <c r="CG233" s="86"/>
      <c r="CH233" s="86"/>
      <c r="CI233" s="86"/>
      <c r="CJ233" s="86"/>
      <c r="CL233" s="63"/>
      <c r="CM233" s="54"/>
      <c r="CN233" s="54"/>
      <c r="CO233" s="54"/>
      <c r="CP233" s="54"/>
      <c r="CQ233" s="86"/>
      <c r="CR233" s="63"/>
      <c r="CS233" s="63"/>
      <c r="CT233" s="63"/>
      <c r="CU233" s="63"/>
      <c r="CV233" s="86"/>
      <c r="CW233" s="86"/>
      <c r="CX233" s="86"/>
      <c r="DF233" s="54"/>
      <c r="DG233" s="54"/>
      <c r="DH233" s="63"/>
      <c r="DI233" s="63"/>
      <c r="DJ233" s="63"/>
      <c r="DK233" s="63"/>
      <c r="DL233" s="63"/>
      <c r="DN233" s="86"/>
      <c r="DO233" s="86"/>
      <c r="DP233" s="86"/>
      <c r="DR233" s="63"/>
      <c r="DW233" s="54"/>
      <c r="DX233" s="54"/>
      <c r="DY233" s="63"/>
      <c r="DZ233" s="63"/>
      <c r="EA233" s="63"/>
      <c r="EB233" s="63"/>
      <c r="EC233" s="63"/>
      <c r="EE233" s="86"/>
      <c r="EF233" s="86"/>
      <c r="EG233" s="86"/>
      <c r="EI233" s="63"/>
      <c r="EN233" s="54"/>
      <c r="EQ233" s="86"/>
      <c r="ER233" s="86"/>
      <c r="EX233" s="54"/>
      <c r="FG233" s="86"/>
      <c r="FL233" s="45"/>
      <c r="FT233" s="63"/>
      <c r="FU233" s="54"/>
      <c r="FV233" s="54"/>
      <c r="FW233" s="54"/>
      <c r="FX233" s="86"/>
      <c r="FY233" s="86"/>
      <c r="FZ233" s="86"/>
      <c r="GA233" s="86"/>
      <c r="GB233" s="86"/>
      <c r="GD233" s="63"/>
      <c r="GE233" s="63"/>
      <c r="GF233" s="63"/>
      <c r="GG233" s="63"/>
      <c r="GH233" s="45"/>
      <c r="GI233" s="54"/>
      <c r="GJ233" s="54"/>
      <c r="GL233" s="86"/>
      <c r="GM233" s="86"/>
      <c r="GR233" s="86"/>
      <c r="GS233" s="86"/>
      <c r="GU233" s="63"/>
      <c r="GV233" s="63"/>
      <c r="GW233" s="63"/>
      <c r="GX233" s="63"/>
      <c r="GZ233" s="63"/>
      <c r="HA233" s="54"/>
      <c r="HD233" s="86"/>
      <c r="HI233" s="86"/>
      <c r="HJ233" s="86"/>
      <c r="HQ233" s="63"/>
      <c r="HR233" s="54"/>
      <c r="HU233" s="86"/>
      <c r="HZ233" s="86"/>
      <c r="IA233" s="86"/>
      <c r="IF233" s="54"/>
      <c r="IK233" s="86"/>
    </row>
    <row r="234" spans="1:245">
      <c r="A234" s="86">
        <v>204</v>
      </c>
      <c r="B234" s="117"/>
      <c r="C234" s="117"/>
      <c r="D234" s="117"/>
      <c r="E234" s="117"/>
      <c r="K234" s="117"/>
      <c r="L234" s="117"/>
      <c r="M234" s="117"/>
      <c r="N234" s="117"/>
      <c r="O234" s="117"/>
      <c r="P234" s="117"/>
      <c r="Q234" s="117"/>
      <c r="R234" s="117"/>
      <c r="S234" s="117"/>
      <c r="T234" s="117"/>
      <c r="U234" s="74"/>
      <c r="V234" s="74"/>
      <c r="W234" s="74"/>
      <c r="X234" s="74"/>
      <c r="Y234" s="74"/>
      <c r="Z234" s="74"/>
      <c r="AA234" s="74"/>
      <c r="AB234" s="74"/>
      <c r="AC234" s="117"/>
      <c r="AD234" s="117"/>
      <c r="AE234" s="117"/>
      <c r="AF234" s="117"/>
      <c r="AG234" s="117"/>
      <c r="AH234" s="117"/>
      <c r="AI234" s="117"/>
      <c r="AJ234" s="117"/>
      <c r="AK234" s="117"/>
      <c r="AL234" s="117"/>
      <c r="AM234" s="117"/>
      <c r="AN234" s="117"/>
      <c r="AO234" s="117"/>
      <c r="AP234" s="117"/>
      <c r="AQ234" s="117"/>
      <c r="AR234" s="300"/>
      <c r="AS234" s="300"/>
      <c r="AT234" s="86"/>
      <c r="AU234" s="162"/>
      <c r="AV234" s="162"/>
      <c r="AW234" s="162"/>
      <c r="AX234" s="162"/>
      <c r="AY234" s="162"/>
      <c r="BB234" s="45"/>
      <c r="BC234" s="45"/>
      <c r="BD234" s="117"/>
      <c r="BE234" s="117"/>
      <c r="BF234" s="99"/>
      <c r="BG234" s="99"/>
      <c r="BH234" s="74"/>
      <c r="BI234" s="117"/>
      <c r="BJ234" s="117"/>
      <c r="BK234" s="117"/>
      <c r="BL234" s="117"/>
      <c r="BM234" s="117"/>
      <c r="BN234" s="117"/>
      <c r="BO234" s="117"/>
      <c r="BP234" s="117"/>
      <c r="BQ234" s="117"/>
      <c r="BR234" s="117"/>
      <c r="BS234" s="117"/>
      <c r="BT234" s="117"/>
      <c r="BU234" s="117"/>
      <c r="BV234" s="117"/>
      <c r="BW234" s="117"/>
      <c r="BX234" s="102"/>
      <c r="BY234" s="102"/>
      <c r="CD234" s="102"/>
      <c r="CE234" s="102"/>
      <c r="CG234" s="86"/>
      <c r="CH234" s="86"/>
      <c r="CI234" s="86"/>
      <c r="CJ234" s="86"/>
      <c r="CL234" s="63"/>
      <c r="CM234" s="54"/>
      <c r="CN234" s="54"/>
      <c r="CO234" s="54"/>
      <c r="CP234" s="54"/>
      <c r="CQ234" s="86"/>
      <c r="CR234" s="63"/>
      <c r="CS234" s="63"/>
      <c r="CT234" s="63"/>
      <c r="CU234" s="63"/>
      <c r="CV234" s="86"/>
      <c r="CW234" s="86"/>
      <c r="CX234" s="86"/>
      <c r="DF234" s="54"/>
      <c r="DG234" s="54"/>
      <c r="DH234" s="63"/>
      <c r="DI234" s="63"/>
      <c r="DJ234" s="63"/>
      <c r="DK234" s="63"/>
      <c r="DL234" s="63"/>
      <c r="DN234" s="86"/>
      <c r="DO234" s="86"/>
      <c r="DP234" s="86"/>
      <c r="DR234" s="63"/>
      <c r="DW234" s="54"/>
      <c r="DX234" s="54"/>
      <c r="DY234" s="63"/>
      <c r="DZ234" s="63"/>
      <c r="EA234" s="63"/>
      <c r="EB234" s="63"/>
      <c r="EC234" s="63"/>
      <c r="EE234" s="86"/>
      <c r="EF234" s="86"/>
      <c r="EG234" s="86"/>
      <c r="EI234" s="63"/>
      <c r="EN234" s="54"/>
      <c r="EQ234" s="86"/>
      <c r="ER234" s="86"/>
      <c r="EX234" s="54"/>
      <c r="FG234" s="86"/>
      <c r="FL234" s="45"/>
      <c r="FT234" s="63"/>
      <c r="FU234" s="54"/>
      <c r="FV234" s="54"/>
      <c r="FW234" s="54"/>
      <c r="FX234" s="86"/>
      <c r="FY234" s="86"/>
      <c r="FZ234" s="86"/>
      <c r="GA234" s="86"/>
      <c r="GB234" s="86"/>
      <c r="GD234" s="63"/>
      <c r="GE234" s="63"/>
      <c r="GF234" s="63"/>
      <c r="GG234" s="63"/>
      <c r="GH234" s="45"/>
      <c r="GI234" s="54"/>
      <c r="GJ234" s="54"/>
      <c r="GL234" s="86"/>
      <c r="GM234" s="86"/>
      <c r="GR234" s="86"/>
      <c r="GS234" s="86"/>
      <c r="GU234" s="63"/>
      <c r="GV234" s="63"/>
      <c r="GW234" s="63"/>
      <c r="GX234" s="63"/>
      <c r="GZ234" s="63"/>
      <c r="HA234" s="54"/>
      <c r="HD234" s="86"/>
      <c r="HI234" s="86"/>
      <c r="HJ234" s="86"/>
      <c r="HQ234" s="63"/>
      <c r="HR234" s="54"/>
      <c r="HU234" s="86"/>
      <c r="HZ234" s="86"/>
      <c r="IA234" s="86"/>
      <c r="IF234" s="54"/>
      <c r="IK234" s="86"/>
    </row>
    <row r="235" spans="1:245">
      <c r="A235" s="86">
        <v>205</v>
      </c>
      <c r="B235" s="117"/>
      <c r="C235" s="117"/>
      <c r="D235" s="117"/>
      <c r="E235" s="117"/>
      <c r="K235" s="117"/>
      <c r="L235" s="117"/>
      <c r="M235" s="117"/>
      <c r="N235" s="117"/>
      <c r="O235" s="117"/>
      <c r="P235" s="117"/>
      <c r="Q235" s="117"/>
      <c r="R235" s="117"/>
      <c r="S235" s="117"/>
      <c r="T235" s="117"/>
      <c r="U235" s="74"/>
      <c r="V235" s="74"/>
      <c r="W235" s="74"/>
      <c r="X235" s="74"/>
      <c r="Y235" s="74"/>
      <c r="Z235" s="74"/>
      <c r="AA235" s="74"/>
      <c r="AB235" s="74"/>
      <c r="AC235" s="117"/>
      <c r="AD235" s="117"/>
      <c r="AE235" s="117"/>
      <c r="AF235" s="117"/>
      <c r="AG235" s="117"/>
      <c r="AH235" s="117"/>
      <c r="AI235" s="117"/>
      <c r="AJ235" s="117"/>
      <c r="AK235" s="117"/>
      <c r="AL235" s="117"/>
      <c r="AM235" s="117"/>
      <c r="AN235" s="117"/>
      <c r="AO235" s="117"/>
      <c r="AP235" s="117"/>
      <c r="AQ235" s="117"/>
      <c r="AR235" s="300"/>
      <c r="AS235" s="300"/>
      <c r="AT235" s="86"/>
      <c r="AU235" s="162"/>
      <c r="AV235" s="162"/>
      <c r="AW235" s="162"/>
      <c r="AX235" s="162"/>
      <c r="AY235" s="162"/>
      <c r="BB235" s="45"/>
      <c r="BC235" s="45"/>
      <c r="BD235" s="117"/>
      <c r="BE235" s="117"/>
      <c r="BF235" s="99"/>
      <c r="BG235" s="99"/>
      <c r="BH235" s="74"/>
      <c r="BI235" s="117"/>
      <c r="BJ235" s="117"/>
      <c r="BK235" s="117"/>
      <c r="BL235" s="117"/>
      <c r="BM235" s="117"/>
      <c r="BN235" s="117"/>
      <c r="BO235" s="117"/>
      <c r="BP235" s="117"/>
      <c r="BQ235" s="117"/>
      <c r="BR235" s="117"/>
      <c r="BS235" s="117"/>
      <c r="BT235" s="117"/>
      <c r="BU235" s="117"/>
      <c r="BV235" s="117"/>
      <c r="BW235" s="117"/>
      <c r="BX235" s="102"/>
      <c r="BY235" s="102"/>
      <c r="CD235" s="102"/>
      <c r="CE235" s="102"/>
      <c r="CG235" s="86"/>
      <c r="CH235" s="86"/>
      <c r="CI235" s="86"/>
      <c r="CJ235" s="86"/>
      <c r="CL235" s="63"/>
      <c r="CM235" s="54"/>
      <c r="CN235" s="54"/>
      <c r="CO235" s="54"/>
      <c r="CP235" s="54"/>
      <c r="CQ235" s="86"/>
      <c r="CR235" s="63"/>
      <c r="CS235" s="63"/>
      <c r="CT235" s="63"/>
      <c r="CU235" s="63"/>
      <c r="CV235" s="86"/>
      <c r="CW235" s="86"/>
      <c r="CX235" s="86"/>
      <c r="DF235" s="54"/>
      <c r="DG235" s="54"/>
      <c r="DH235" s="63"/>
      <c r="DI235" s="63"/>
      <c r="DJ235" s="63"/>
      <c r="DK235" s="63"/>
      <c r="DL235" s="63"/>
      <c r="DN235" s="86"/>
      <c r="DO235" s="86"/>
      <c r="DP235" s="86"/>
      <c r="DR235" s="63"/>
      <c r="DW235" s="54"/>
      <c r="DX235" s="54"/>
      <c r="DY235" s="63"/>
      <c r="DZ235" s="63"/>
      <c r="EA235" s="63"/>
      <c r="EB235" s="63"/>
      <c r="EC235" s="63"/>
      <c r="EE235" s="86"/>
      <c r="EF235" s="86"/>
      <c r="EG235" s="86"/>
      <c r="EI235" s="63"/>
      <c r="EN235" s="54"/>
      <c r="EQ235" s="86"/>
      <c r="ER235" s="86"/>
      <c r="EX235" s="54"/>
      <c r="FG235" s="86"/>
      <c r="FL235" s="45"/>
      <c r="FT235" s="63"/>
      <c r="FU235" s="54"/>
      <c r="FV235" s="54"/>
      <c r="FW235" s="54"/>
      <c r="FX235" s="86"/>
      <c r="FY235" s="86"/>
      <c r="FZ235" s="86"/>
      <c r="GA235" s="86"/>
      <c r="GB235" s="86"/>
      <c r="GD235" s="63"/>
      <c r="GE235" s="63"/>
      <c r="GF235" s="63"/>
      <c r="GG235" s="63"/>
      <c r="GH235" s="45"/>
      <c r="GI235" s="54"/>
      <c r="GJ235" s="54"/>
      <c r="GL235" s="86"/>
      <c r="GM235" s="86"/>
      <c r="GR235" s="86"/>
      <c r="GS235" s="86"/>
      <c r="GU235" s="63"/>
      <c r="GV235" s="63"/>
      <c r="GW235" s="63"/>
      <c r="GX235" s="63"/>
      <c r="GZ235" s="63"/>
      <c r="HA235" s="54"/>
      <c r="HD235" s="86"/>
      <c r="HI235" s="86"/>
      <c r="HJ235" s="86"/>
      <c r="HQ235" s="63"/>
      <c r="HR235" s="54"/>
      <c r="HU235" s="86"/>
      <c r="HZ235" s="86"/>
      <c r="IA235" s="86"/>
      <c r="IF235" s="54"/>
      <c r="IK235" s="86"/>
    </row>
    <row r="236" spans="1:245">
      <c r="A236" s="86">
        <v>206</v>
      </c>
      <c r="B236" s="117"/>
      <c r="C236" s="117"/>
      <c r="D236" s="117"/>
      <c r="E236" s="117"/>
      <c r="K236" s="117"/>
      <c r="L236" s="117"/>
      <c r="M236" s="117"/>
      <c r="N236" s="117"/>
      <c r="O236" s="117"/>
      <c r="P236" s="117"/>
      <c r="Q236" s="117"/>
      <c r="R236" s="117"/>
      <c r="S236" s="117"/>
      <c r="T236" s="117"/>
      <c r="U236" s="74"/>
      <c r="V236" s="74"/>
      <c r="W236" s="74"/>
      <c r="X236" s="74"/>
      <c r="Y236" s="74"/>
      <c r="Z236" s="74"/>
      <c r="AA236" s="74"/>
      <c r="AB236" s="74"/>
      <c r="AC236" s="117"/>
      <c r="AD236" s="117"/>
      <c r="AE236" s="117"/>
      <c r="AF236" s="117"/>
      <c r="AG236" s="117"/>
      <c r="AH236" s="117"/>
      <c r="AI236" s="117"/>
      <c r="AJ236" s="117"/>
      <c r="AK236" s="117"/>
      <c r="AL236" s="117"/>
      <c r="AM236" s="117"/>
      <c r="AN236" s="117"/>
      <c r="AO236" s="117"/>
      <c r="AP236" s="117"/>
      <c r="AQ236" s="117"/>
      <c r="AR236" s="300"/>
      <c r="AS236" s="300"/>
      <c r="AT236" s="86"/>
      <c r="AU236" s="162"/>
      <c r="AV236" s="162"/>
      <c r="AW236" s="162"/>
      <c r="AX236" s="162"/>
      <c r="AY236" s="162"/>
      <c r="BB236" s="45"/>
      <c r="BC236" s="45"/>
      <c r="BD236" s="117"/>
      <c r="BE236" s="117"/>
      <c r="BF236" s="99"/>
      <c r="BG236" s="99"/>
      <c r="BH236" s="74"/>
      <c r="BI236" s="117"/>
      <c r="BJ236" s="117"/>
      <c r="BK236" s="117"/>
      <c r="BL236" s="117"/>
      <c r="BM236" s="117"/>
      <c r="BN236" s="117"/>
      <c r="BO236" s="117"/>
      <c r="BP236" s="117"/>
      <c r="BQ236" s="117"/>
      <c r="BR236" s="117"/>
      <c r="BS236" s="117"/>
      <c r="BT236" s="117"/>
      <c r="BU236" s="117"/>
      <c r="BV236" s="117"/>
      <c r="BW236" s="117"/>
      <c r="BX236" s="102"/>
      <c r="BY236" s="102"/>
      <c r="CD236" s="102"/>
      <c r="CE236" s="102"/>
      <c r="CG236" s="86"/>
      <c r="CH236" s="86"/>
      <c r="CI236" s="86"/>
      <c r="CJ236" s="86"/>
      <c r="CL236" s="63"/>
      <c r="CM236" s="54"/>
      <c r="CN236" s="54"/>
      <c r="CO236" s="54"/>
      <c r="CP236" s="54"/>
      <c r="CQ236" s="86"/>
      <c r="CR236" s="63"/>
      <c r="CS236" s="63"/>
      <c r="CT236" s="63"/>
      <c r="CU236" s="63"/>
      <c r="CV236" s="86"/>
      <c r="CW236" s="86"/>
      <c r="CX236" s="86"/>
      <c r="DF236" s="54"/>
      <c r="DG236" s="54"/>
      <c r="DH236" s="63"/>
      <c r="DI236" s="63"/>
      <c r="DJ236" s="63"/>
      <c r="DK236" s="63"/>
      <c r="DL236" s="63"/>
      <c r="DN236" s="86"/>
      <c r="DO236" s="86"/>
      <c r="DP236" s="86"/>
      <c r="DR236" s="63"/>
      <c r="DW236" s="54"/>
      <c r="DX236" s="54"/>
      <c r="DY236" s="63"/>
      <c r="DZ236" s="63"/>
      <c r="EA236" s="63"/>
      <c r="EB236" s="63"/>
      <c r="EC236" s="63"/>
      <c r="EE236" s="86"/>
      <c r="EF236" s="86"/>
      <c r="EG236" s="86"/>
      <c r="EI236" s="63"/>
      <c r="EN236" s="54"/>
      <c r="EQ236" s="86"/>
      <c r="ER236" s="86"/>
      <c r="EX236" s="54"/>
      <c r="FG236" s="86"/>
      <c r="FL236" s="45"/>
      <c r="FT236" s="63"/>
      <c r="FU236" s="54"/>
      <c r="FV236" s="54"/>
      <c r="FW236" s="54"/>
      <c r="FX236" s="86"/>
      <c r="FY236" s="86"/>
      <c r="FZ236" s="86"/>
      <c r="GA236" s="86"/>
      <c r="GB236" s="86"/>
      <c r="GD236" s="63"/>
      <c r="GE236" s="63"/>
      <c r="GF236" s="63"/>
      <c r="GG236" s="63"/>
      <c r="GH236" s="45"/>
      <c r="GI236" s="54"/>
      <c r="GJ236" s="54"/>
      <c r="GL236" s="86"/>
      <c r="GM236" s="86"/>
      <c r="GR236" s="86"/>
      <c r="GS236" s="86"/>
      <c r="GU236" s="63"/>
      <c r="GV236" s="63"/>
      <c r="GW236" s="63"/>
      <c r="GX236" s="63"/>
      <c r="GZ236" s="63"/>
      <c r="HA236" s="54"/>
      <c r="HD236" s="86"/>
      <c r="HI236" s="86"/>
      <c r="HJ236" s="86"/>
      <c r="HQ236" s="63"/>
      <c r="HR236" s="54"/>
      <c r="HU236" s="86"/>
      <c r="HZ236" s="86"/>
      <c r="IA236" s="86"/>
      <c r="IF236" s="54"/>
      <c r="IK236" s="86"/>
    </row>
    <row r="237" spans="1:245">
      <c r="A237" s="86">
        <v>207</v>
      </c>
      <c r="B237" s="117"/>
      <c r="C237" s="117"/>
      <c r="D237" s="117"/>
      <c r="E237" s="117"/>
      <c r="K237" s="117"/>
      <c r="L237" s="117"/>
      <c r="M237" s="117"/>
      <c r="N237" s="117"/>
      <c r="O237" s="117"/>
      <c r="P237" s="117"/>
      <c r="Q237" s="117"/>
      <c r="R237" s="117"/>
      <c r="S237" s="117"/>
      <c r="T237" s="117"/>
      <c r="U237" s="74"/>
      <c r="V237" s="74"/>
      <c r="W237" s="74"/>
      <c r="X237" s="74"/>
      <c r="Y237" s="74"/>
      <c r="Z237" s="74"/>
      <c r="AA237" s="74"/>
      <c r="AB237" s="74"/>
      <c r="AC237" s="117"/>
      <c r="AD237" s="117"/>
      <c r="AE237" s="117"/>
      <c r="AF237" s="117"/>
      <c r="AG237" s="117"/>
      <c r="AH237" s="117"/>
      <c r="AI237" s="117"/>
      <c r="AJ237" s="117"/>
      <c r="AK237" s="117"/>
      <c r="AL237" s="117"/>
      <c r="AM237" s="117"/>
      <c r="AN237" s="117"/>
      <c r="AO237" s="117"/>
      <c r="AP237" s="117"/>
      <c r="AQ237" s="117"/>
      <c r="AR237" s="300"/>
      <c r="AS237" s="300"/>
      <c r="AT237" s="86"/>
      <c r="AU237" s="162"/>
      <c r="AV237" s="162"/>
      <c r="AW237" s="162"/>
      <c r="AX237" s="162"/>
      <c r="AY237" s="162"/>
      <c r="BB237" s="45"/>
      <c r="BC237" s="45"/>
      <c r="BD237" s="117"/>
      <c r="BE237" s="117"/>
      <c r="BF237" s="99"/>
      <c r="BG237" s="99"/>
      <c r="BH237" s="74"/>
      <c r="BI237" s="117"/>
      <c r="BJ237" s="117"/>
      <c r="BK237" s="117"/>
      <c r="BL237" s="117"/>
      <c r="BM237" s="117"/>
      <c r="BN237" s="117"/>
      <c r="BO237" s="117"/>
      <c r="BP237" s="117"/>
      <c r="BQ237" s="117"/>
      <c r="BR237" s="117"/>
      <c r="BS237" s="117"/>
      <c r="BT237" s="117"/>
      <c r="BU237" s="117"/>
      <c r="BV237" s="117"/>
      <c r="BW237" s="117"/>
      <c r="BX237" s="102"/>
      <c r="BY237" s="102"/>
      <c r="CD237" s="102"/>
      <c r="CE237" s="102"/>
      <c r="CG237" s="86"/>
      <c r="CH237" s="86"/>
      <c r="CI237" s="86"/>
      <c r="CJ237" s="86"/>
      <c r="CL237" s="63"/>
      <c r="CM237" s="54"/>
      <c r="CN237" s="54"/>
      <c r="CO237" s="54"/>
      <c r="CP237" s="54"/>
      <c r="CQ237" s="86"/>
      <c r="CR237" s="63"/>
      <c r="CS237" s="63"/>
      <c r="CT237" s="63"/>
      <c r="CU237" s="63"/>
      <c r="CV237" s="86"/>
      <c r="CW237" s="86"/>
      <c r="CX237" s="86"/>
      <c r="DF237" s="54"/>
      <c r="DG237" s="54"/>
      <c r="DH237" s="63"/>
      <c r="DI237" s="63"/>
      <c r="DJ237" s="63"/>
      <c r="DK237" s="63"/>
      <c r="DL237" s="63"/>
      <c r="DN237" s="86"/>
      <c r="DO237" s="86"/>
      <c r="DP237" s="86"/>
      <c r="DR237" s="63"/>
      <c r="DW237" s="54"/>
      <c r="DX237" s="54"/>
      <c r="DY237" s="63"/>
      <c r="DZ237" s="63"/>
      <c r="EA237" s="63"/>
      <c r="EB237" s="63"/>
      <c r="EC237" s="63"/>
      <c r="EE237" s="86"/>
      <c r="EF237" s="86"/>
      <c r="EG237" s="86"/>
      <c r="EI237" s="63"/>
      <c r="EN237" s="54"/>
      <c r="EQ237" s="86"/>
      <c r="ER237" s="86"/>
      <c r="EX237" s="54"/>
      <c r="FG237" s="86"/>
      <c r="FL237" s="45"/>
      <c r="FT237" s="63"/>
      <c r="FU237" s="54"/>
      <c r="FV237" s="54"/>
      <c r="FW237" s="54"/>
      <c r="FX237" s="86"/>
      <c r="FY237" s="86"/>
      <c r="FZ237" s="86"/>
      <c r="GA237" s="86"/>
      <c r="GB237" s="86"/>
      <c r="GD237" s="63"/>
      <c r="GE237" s="63"/>
      <c r="GF237" s="63"/>
      <c r="GG237" s="63"/>
      <c r="GH237" s="45"/>
      <c r="GI237" s="54"/>
      <c r="GJ237" s="54"/>
      <c r="GL237" s="86"/>
      <c r="GM237" s="86"/>
      <c r="GR237" s="86"/>
      <c r="GS237" s="86"/>
      <c r="GU237" s="63"/>
      <c r="GV237" s="63"/>
      <c r="GW237" s="63"/>
      <c r="GX237" s="63"/>
      <c r="GZ237" s="63"/>
      <c r="HA237" s="54"/>
      <c r="HD237" s="86"/>
      <c r="HI237" s="86"/>
      <c r="HJ237" s="86"/>
      <c r="HQ237" s="63"/>
      <c r="HR237" s="54"/>
      <c r="HU237" s="86"/>
      <c r="HZ237" s="86"/>
      <c r="IA237" s="86"/>
      <c r="IF237" s="54"/>
      <c r="IK237" s="86"/>
    </row>
    <row r="238" spans="1:245">
      <c r="A238" s="86">
        <v>208</v>
      </c>
      <c r="B238" s="117"/>
      <c r="C238" s="117"/>
      <c r="D238" s="117"/>
      <c r="E238" s="117"/>
      <c r="K238" s="117"/>
      <c r="L238" s="117"/>
      <c r="M238" s="117"/>
      <c r="N238" s="117"/>
      <c r="O238" s="117"/>
      <c r="P238" s="117"/>
      <c r="Q238" s="117"/>
      <c r="R238" s="117"/>
      <c r="S238" s="117"/>
      <c r="T238" s="117"/>
      <c r="U238" s="74"/>
      <c r="V238" s="74"/>
      <c r="W238" s="74"/>
      <c r="X238" s="74"/>
      <c r="Y238" s="74"/>
      <c r="Z238" s="74"/>
      <c r="AA238" s="74"/>
      <c r="AB238" s="74"/>
      <c r="AC238" s="117"/>
      <c r="AD238" s="117"/>
      <c r="AE238" s="117"/>
      <c r="AF238" s="117"/>
      <c r="AG238" s="117"/>
      <c r="AH238" s="117"/>
      <c r="AI238" s="117"/>
      <c r="AJ238" s="117"/>
      <c r="AK238" s="117"/>
      <c r="AL238" s="117"/>
      <c r="AM238" s="117"/>
      <c r="AN238" s="117"/>
      <c r="AO238" s="117"/>
      <c r="AP238" s="117"/>
      <c r="AQ238" s="117"/>
      <c r="AR238" s="300"/>
      <c r="AS238" s="300"/>
      <c r="AT238" s="86"/>
      <c r="AU238" s="162"/>
      <c r="AV238" s="162"/>
      <c r="AW238" s="162"/>
      <c r="AX238" s="162"/>
      <c r="AY238" s="162"/>
      <c r="BB238" s="45"/>
      <c r="BC238" s="45"/>
      <c r="BD238" s="117"/>
      <c r="BE238" s="117"/>
      <c r="BF238" s="99"/>
      <c r="BG238" s="99"/>
      <c r="BH238" s="74"/>
      <c r="BI238" s="117"/>
      <c r="BJ238" s="117"/>
      <c r="BK238" s="117"/>
      <c r="BL238" s="117"/>
      <c r="BM238" s="117"/>
      <c r="BN238" s="117"/>
      <c r="BO238" s="117"/>
      <c r="BP238" s="117"/>
      <c r="BQ238" s="117"/>
      <c r="BR238" s="117"/>
      <c r="BS238" s="117"/>
      <c r="BT238" s="117"/>
      <c r="BU238" s="117"/>
      <c r="BV238" s="117"/>
      <c r="BW238" s="117"/>
      <c r="BX238" s="102"/>
      <c r="BY238" s="102"/>
      <c r="CD238" s="102"/>
      <c r="CE238" s="102"/>
      <c r="CG238" s="86"/>
      <c r="CH238" s="86"/>
      <c r="CI238" s="86"/>
      <c r="CJ238" s="86"/>
      <c r="CL238" s="63"/>
      <c r="CM238" s="54"/>
      <c r="CN238" s="54"/>
      <c r="CO238" s="54"/>
      <c r="CP238" s="54"/>
      <c r="CQ238" s="86"/>
      <c r="CR238" s="63"/>
      <c r="CS238" s="63"/>
      <c r="CT238" s="63"/>
      <c r="CU238" s="63"/>
      <c r="CV238" s="86"/>
      <c r="CW238" s="86"/>
      <c r="CX238" s="86"/>
      <c r="DF238" s="54"/>
      <c r="DG238" s="54"/>
      <c r="DH238" s="63"/>
      <c r="DI238" s="63"/>
      <c r="DJ238" s="63"/>
      <c r="DK238" s="63"/>
      <c r="DL238" s="63"/>
      <c r="DN238" s="86"/>
      <c r="DO238" s="86"/>
      <c r="DP238" s="86"/>
      <c r="DR238" s="63"/>
      <c r="DW238" s="54"/>
      <c r="DX238" s="54"/>
      <c r="DY238" s="63"/>
      <c r="DZ238" s="63"/>
      <c r="EA238" s="63"/>
      <c r="EB238" s="63"/>
      <c r="EC238" s="63"/>
      <c r="EE238" s="86"/>
      <c r="EF238" s="86"/>
      <c r="EG238" s="86"/>
      <c r="EI238" s="63"/>
      <c r="EN238" s="54"/>
      <c r="EQ238" s="86"/>
      <c r="ER238" s="86"/>
      <c r="EX238" s="54"/>
      <c r="FG238" s="86"/>
      <c r="FL238" s="45"/>
      <c r="FT238" s="63"/>
      <c r="FU238" s="54"/>
      <c r="FV238" s="54"/>
      <c r="FW238" s="54"/>
      <c r="FX238" s="86"/>
      <c r="FY238" s="86"/>
      <c r="FZ238" s="86"/>
      <c r="GA238" s="86"/>
      <c r="GB238" s="86"/>
      <c r="GD238" s="63"/>
      <c r="GE238" s="63"/>
      <c r="GF238" s="63"/>
      <c r="GG238" s="63"/>
      <c r="GH238" s="45"/>
      <c r="GI238" s="54"/>
      <c r="GJ238" s="54"/>
      <c r="GL238" s="86"/>
      <c r="GM238" s="86"/>
      <c r="GR238" s="86"/>
      <c r="GS238" s="86"/>
      <c r="GU238" s="63"/>
      <c r="GV238" s="63"/>
      <c r="GW238" s="63"/>
      <c r="GX238" s="63"/>
      <c r="GZ238" s="63"/>
      <c r="HA238" s="54"/>
      <c r="HD238" s="86"/>
      <c r="HI238" s="86"/>
      <c r="HJ238" s="86"/>
      <c r="HQ238" s="63"/>
      <c r="HR238" s="54"/>
      <c r="HU238" s="86"/>
      <c r="HZ238" s="86"/>
      <c r="IA238" s="86"/>
      <c r="IF238" s="54"/>
      <c r="IK238" s="86"/>
    </row>
    <row r="239" spans="1:245">
      <c r="A239" s="86">
        <v>209</v>
      </c>
      <c r="B239" s="117"/>
      <c r="C239" s="117"/>
      <c r="D239" s="117"/>
      <c r="E239" s="117"/>
      <c r="K239" s="117"/>
      <c r="L239" s="117"/>
      <c r="M239" s="117"/>
      <c r="N239" s="117"/>
      <c r="O239" s="117"/>
      <c r="P239" s="117"/>
      <c r="Q239" s="117"/>
      <c r="R239" s="117"/>
      <c r="S239" s="117"/>
      <c r="T239" s="117"/>
      <c r="U239" s="74"/>
      <c r="V239" s="74"/>
      <c r="W239" s="74"/>
      <c r="X239" s="74"/>
      <c r="Y239" s="74"/>
      <c r="Z239" s="74"/>
      <c r="AA239" s="74"/>
      <c r="AB239" s="74"/>
      <c r="AC239" s="117"/>
      <c r="AD239" s="117"/>
      <c r="AE239" s="117"/>
      <c r="AF239" s="117"/>
      <c r="AG239" s="117"/>
      <c r="AH239" s="117"/>
      <c r="AI239" s="117"/>
      <c r="AJ239" s="117"/>
      <c r="AK239" s="117"/>
      <c r="AL239" s="117"/>
      <c r="AM239" s="117"/>
      <c r="AN239" s="117"/>
      <c r="AO239" s="117"/>
      <c r="AP239" s="117"/>
      <c r="AQ239" s="117"/>
      <c r="AR239" s="300"/>
      <c r="AS239" s="300"/>
      <c r="AT239" s="86"/>
      <c r="AU239" s="162"/>
      <c r="AV239" s="162"/>
      <c r="AW239" s="162"/>
      <c r="AX239" s="162"/>
      <c r="AY239" s="162"/>
      <c r="BB239" s="45"/>
      <c r="BC239" s="45"/>
      <c r="BD239" s="117"/>
      <c r="BE239" s="117"/>
      <c r="BF239" s="99"/>
      <c r="BG239" s="99"/>
      <c r="BH239" s="74"/>
      <c r="BI239" s="117"/>
      <c r="BJ239" s="117"/>
      <c r="BK239" s="117"/>
      <c r="BL239" s="117"/>
      <c r="BM239" s="117"/>
      <c r="BN239" s="117"/>
      <c r="BO239" s="117"/>
      <c r="BP239" s="117"/>
      <c r="BQ239" s="117"/>
      <c r="BR239" s="117"/>
      <c r="BS239" s="117"/>
      <c r="BT239" s="117"/>
      <c r="BU239" s="117"/>
      <c r="BV239" s="117"/>
      <c r="BW239" s="117"/>
      <c r="BX239" s="102"/>
      <c r="BY239" s="102"/>
      <c r="CD239" s="102"/>
      <c r="CE239" s="102"/>
      <c r="CG239" s="86"/>
      <c r="CH239" s="86"/>
      <c r="CI239" s="86"/>
      <c r="CJ239" s="86"/>
      <c r="CL239" s="63"/>
      <c r="CM239" s="54"/>
      <c r="CN239" s="54"/>
      <c r="CO239" s="54"/>
      <c r="CP239" s="54"/>
      <c r="CQ239" s="86"/>
      <c r="CR239" s="63"/>
      <c r="CS239" s="63"/>
      <c r="CT239" s="63"/>
      <c r="CU239" s="63"/>
      <c r="CV239" s="86"/>
      <c r="CW239" s="86"/>
      <c r="CX239" s="86"/>
      <c r="DF239" s="54"/>
      <c r="DG239" s="54"/>
      <c r="DH239" s="63"/>
      <c r="DI239" s="63"/>
      <c r="DJ239" s="63"/>
      <c r="DK239" s="63"/>
      <c r="DL239" s="63"/>
      <c r="DN239" s="86"/>
      <c r="DO239" s="86"/>
      <c r="DP239" s="86"/>
      <c r="DR239" s="63"/>
      <c r="DW239" s="54"/>
      <c r="DX239" s="54"/>
      <c r="DY239" s="63"/>
      <c r="DZ239" s="63"/>
      <c r="EA239" s="63"/>
      <c r="EB239" s="63"/>
      <c r="EC239" s="63"/>
      <c r="EE239" s="86"/>
      <c r="EF239" s="86"/>
      <c r="EG239" s="86"/>
      <c r="EI239" s="63"/>
      <c r="EN239" s="54"/>
      <c r="EQ239" s="86"/>
      <c r="ER239" s="86"/>
      <c r="EX239" s="54"/>
      <c r="FG239" s="86"/>
      <c r="FL239" s="45"/>
      <c r="FT239" s="63"/>
      <c r="FU239" s="54"/>
      <c r="FV239" s="54"/>
      <c r="FW239" s="54"/>
      <c r="FX239" s="86"/>
      <c r="FY239" s="86"/>
      <c r="FZ239" s="86"/>
      <c r="GA239" s="86"/>
      <c r="GB239" s="86"/>
      <c r="GD239" s="63"/>
      <c r="GE239" s="63"/>
      <c r="GF239" s="63"/>
      <c r="GG239" s="63"/>
      <c r="GH239" s="45"/>
      <c r="GI239" s="54"/>
      <c r="GJ239" s="54"/>
      <c r="GL239" s="86"/>
      <c r="GM239" s="86"/>
      <c r="GR239" s="86"/>
      <c r="GS239" s="86"/>
      <c r="GU239" s="63"/>
      <c r="GV239" s="63"/>
      <c r="GW239" s="63"/>
      <c r="GX239" s="63"/>
      <c r="GZ239" s="63"/>
      <c r="HA239" s="54"/>
      <c r="HD239" s="86"/>
      <c r="HI239" s="86"/>
      <c r="HJ239" s="86"/>
      <c r="HQ239" s="63"/>
      <c r="HR239" s="54"/>
      <c r="HU239" s="86"/>
      <c r="HZ239" s="86"/>
      <c r="IA239" s="86"/>
      <c r="IF239" s="54"/>
      <c r="IK239" s="86"/>
    </row>
    <row r="240" spans="1:245">
      <c r="A240" s="86">
        <v>210</v>
      </c>
      <c r="B240" s="117"/>
      <c r="C240" s="117"/>
      <c r="D240" s="117"/>
      <c r="E240" s="117"/>
      <c r="K240" s="117"/>
      <c r="L240" s="117"/>
      <c r="M240" s="117"/>
      <c r="N240" s="117"/>
      <c r="O240" s="117"/>
      <c r="P240" s="117"/>
      <c r="Q240" s="117"/>
      <c r="R240" s="117"/>
      <c r="S240" s="117"/>
      <c r="T240" s="117"/>
      <c r="U240" s="74"/>
      <c r="V240" s="74"/>
      <c r="W240" s="74"/>
      <c r="X240" s="74"/>
      <c r="Y240" s="74"/>
      <c r="Z240" s="74"/>
      <c r="AA240" s="74"/>
      <c r="AB240" s="74"/>
      <c r="AC240" s="117"/>
      <c r="AD240" s="117"/>
      <c r="AE240" s="117"/>
      <c r="AF240" s="117"/>
      <c r="AG240" s="117"/>
      <c r="AH240" s="117"/>
      <c r="AI240" s="117"/>
      <c r="AJ240" s="117"/>
      <c r="AK240" s="117"/>
      <c r="AL240" s="117"/>
      <c r="AM240" s="117"/>
      <c r="AN240" s="117"/>
      <c r="AO240" s="117"/>
      <c r="AP240" s="117"/>
      <c r="AQ240" s="117"/>
      <c r="AR240" s="300"/>
      <c r="AS240" s="300"/>
      <c r="AT240" s="86"/>
      <c r="AU240" s="162"/>
      <c r="AV240" s="162"/>
      <c r="AW240" s="162"/>
      <c r="AX240" s="162"/>
      <c r="AY240" s="162"/>
      <c r="BB240" s="45"/>
      <c r="BC240" s="45"/>
      <c r="BD240" s="117"/>
      <c r="BE240" s="117"/>
      <c r="BF240" s="99"/>
      <c r="BG240" s="99"/>
      <c r="BH240" s="74"/>
      <c r="BI240" s="117"/>
      <c r="BJ240" s="117"/>
      <c r="BK240" s="117"/>
      <c r="BL240" s="117"/>
      <c r="BM240" s="117"/>
      <c r="BN240" s="117"/>
      <c r="BO240" s="117"/>
      <c r="BP240" s="117"/>
      <c r="BQ240" s="117"/>
      <c r="BR240" s="117"/>
      <c r="BS240" s="117"/>
      <c r="BT240" s="117"/>
      <c r="BU240" s="117"/>
      <c r="BV240" s="117"/>
      <c r="BW240" s="117"/>
      <c r="BX240" s="102"/>
      <c r="BY240" s="102"/>
      <c r="CD240" s="102"/>
      <c r="CE240" s="102"/>
      <c r="CG240" s="86"/>
      <c r="CH240" s="86"/>
      <c r="CI240" s="86"/>
      <c r="CJ240" s="86"/>
      <c r="CL240" s="63"/>
      <c r="CM240" s="54"/>
      <c r="CN240" s="54"/>
      <c r="CO240" s="54"/>
      <c r="CP240" s="54"/>
      <c r="CQ240" s="86"/>
      <c r="CR240" s="63"/>
      <c r="CS240" s="63"/>
      <c r="CT240" s="63"/>
      <c r="CU240" s="63"/>
      <c r="CV240" s="86"/>
      <c r="CW240" s="86"/>
      <c r="CX240" s="86"/>
      <c r="DF240" s="54"/>
      <c r="DG240" s="54"/>
      <c r="DH240" s="63"/>
      <c r="DI240" s="63"/>
      <c r="DJ240" s="63"/>
      <c r="DK240" s="63"/>
      <c r="DL240" s="63"/>
      <c r="DN240" s="86"/>
      <c r="DO240" s="86"/>
      <c r="DP240" s="86"/>
      <c r="DR240" s="63"/>
      <c r="DW240" s="54"/>
      <c r="DX240" s="54"/>
      <c r="DY240" s="63"/>
      <c r="DZ240" s="63"/>
      <c r="EA240" s="63"/>
      <c r="EB240" s="63"/>
      <c r="EC240" s="63"/>
      <c r="EE240" s="86"/>
      <c r="EF240" s="86"/>
      <c r="EG240" s="86"/>
      <c r="EI240" s="63"/>
      <c r="EN240" s="54"/>
      <c r="EQ240" s="86"/>
      <c r="ER240" s="86"/>
      <c r="EX240" s="54"/>
      <c r="FG240" s="86"/>
      <c r="FL240" s="45"/>
      <c r="FT240" s="63"/>
      <c r="FU240" s="54"/>
      <c r="FV240" s="54"/>
      <c r="FW240" s="54"/>
      <c r="FX240" s="86"/>
      <c r="FY240" s="86"/>
      <c r="FZ240" s="86"/>
      <c r="GA240" s="86"/>
      <c r="GB240" s="86"/>
      <c r="GD240" s="63"/>
      <c r="GE240" s="63"/>
      <c r="GF240" s="63"/>
      <c r="GG240" s="63"/>
      <c r="GH240" s="45"/>
      <c r="GI240" s="54"/>
      <c r="GJ240" s="54"/>
      <c r="GL240" s="86"/>
      <c r="GM240" s="86"/>
      <c r="GR240" s="86"/>
      <c r="GS240" s="86"/>
      <c r="GU240" s="63"/>
      <c r="GV240" s="63"/>
      <c r="GW240" s="63"/>
      <c r="GX240" s="63"/>
      <c r="GZ240" s="63"/>
      <c r="HA240" s="54"/>
      <c r="HD240" s="86"/>
      <c r="HI240" s="86"/>
      <c r="HJ240" s="86"/>
      <c r="HQ240" s="63"/>
      <c r="HR240" s="54"/>
      <c r="HU240" s="86"/>
      <c r="HZ240" s="86"/>
      <c r="IA240" s="86"/>
      <c r="IF240" s="54"/>
      <c r="IK240" s="86"/>
    </row>
    <row r="241" spans="1:245">
      <c r="A241" s="86">
        <v>211</v>
      </c>
      <c r="B241" s="117"/>
      <c r="C241" s="117"/>
      <c r="D241" s="117"/>
      <c r="E241" s="117"/>
      <c r="K241" s="117"/>
      <c r="L241" s="117"/>
      <c r="M241" s="117"/>
      <c r="N241" s="117"/>
      <c r="O241" s="117"/>
      <c r="P241" s="117"/>
      <c r="Q241" s="117"/>
      <c r="R241" s="117"/>
      <c r="S241" s="117"/>
      <c r="T241" s="117"/>
      <c r="U241" s="74"/>
      <c r="V241" s="74"/>
      <c r="W241" s="74"/>
      <c r="X241" s="74"/>
      <c r="Y241" s="74"/>
      <c r="Z241" s="74"/>
      <c r="AA241" s="74"/>
      <c r="AB241" s="74"/>
      <c r="AC241" s="117"/>
      <c r="AD241" s="117"/>
      <c r="AE241" s="117"/>
      <c r="AF241" s="117"/>
      <c r="AG241" s="117"/>
      <c r="AH241" s="117"/>
      <c r="AI241" s="117"/>
      <c r="AJ241" s="117"/>
      <c r="AK241" s="117"/>
      <c r="AL241" s="117"/>
      <c r="AM241" s="117"/>
      <c r="AN241" s="117"/>
      <c r="AO241" s="117"/>
      <c r="AP241" s="117"/>
      <c r="AQ241" s="117"/>
      <c r="AR241" s="300"/>
      <c r="AS241" s="300"/>
      <c r="AT241" s="86"/>
      <c r="AU241" s="162"/>
      <c r="AV241" s="162"/>
      <c r="AW241" s="162"/>
      <c r="AX241" s="162"/>
      <c r="AY241" s="162"/>
      <c r="BB241" s="45"/>
      <c r="BC241" s="45"/>
      <c r="BD241" s="117"/>
      <c r="BE241" s="117"/>
      <c r="BF241" s="99"/>
      <c r="BG241" s="99"/>
      <c r="BH241" s="74"/>
      <c r="BI241" s="117"/>
      <c r="BJ241" s="117"/>
      <c r="BK241" s="117"/>
      <c r="BL241" s="117"/>
      <c r="BM241" s="117"/>
      <c r="BN241" s="117"/>
      <c r="BO241" s="117"/>
      <c r="BP241" s="117"/>
      <c r="BQ241" s="117"/>
      <c r="BR241" s="117"/>
      <c r="BS241" s="117"/>
      <c r="BT241" s="117"/>
      <c r="BU241" s="117"/>
      <c r="BV241" s="117"/>
      <c r="BW241" s="117"/>
      <c r="BX241" s="102"/>
      <c r="BY241" s="102"/>
      <c r="CD241" s="102"/>
      <c r="CE241" s="102"/>
      <c r="CG241" s="86"/>
      <c r="CH241" s="86"/>
      <c r="CI241" s="86"/>
      <c r="CJ241" s="86"/>
      <c r="CL241" s="63"/>
      <c r="CM241" s="54"/>
      <c r="CN241" s="54"/>
      <c r="CO241" s="54"/>
      <c r="CP241" s="54"/>
      <c r="CQ241" s="86"/>
      <c r="CR241" s="63"/>
      <c r="CS241" s="63"/>
      <c r="CT241" s="63"/>
      <c r="CU241" s="63"/>
      <c r="CV241" s="86"/>
      <c r="CW241" s="86"/>
      <c r="CX241" s="86"/>
      <c r="DF241" s="54"/>
      <c r="DG241" s="54"/>
      <c r="DH241" s="63"/>
      <c r="DI241" s="63"/>
      <c r="DJ241" s="63"/>
      <c r="DK241" s="63"/>
      <c r="DL241" s="63"/>
      <c r="DN241" s="86"/>
      <c r="DO241" s="86"/>
      <c r="DP241" s="86"/>
      <c r="DR241" s="63"/>
      <c r="DW241" s="54"/>
      <c r="DX241" s="54"/>
      <c r="DY241" s="63"/>
      <c r="DZ241" s="63"/>
      <c r="EA241" s="63"/>
      <c r="EB241" s="63"/>
      <c r="EC241" s="63"/>
      <c r="EE241" s="86"/>
      <c r="EF241" s="86"/>
      <c r="EG241" s="86"/>
      <c r="EI241" s="63"/>
      <c r="EN241" s="54"/>
      <c r="EQ241" s="86"/>
      <c r="ER241" s="86"/>
      <c r="EX241" s="54"/>
      <c r="FG241" s="86"/>
      <c r="FL241" s="45"/>
      <c r="FT241" s="63"/>
      <c r="FU241" s="54"/>
      <c r="FV241" s="54"/>
      <c r="FW241" s="54"/>
      <c r="FX241" s="86"/>
      <c r="FY241" s="86"/>
      <c r="FZ241" s="86"/>
      <c r="GA241" s="86"/>
      <c r="GB241" s="86"/>
      <c r="GD241" s="63"/>
      <c r="GE241" s="63"/>
      <c r="GF241" s="63"/>
      <c r="GG241" s="63"/>
      <c r="GH241" s="45"/>
      <c r="GI241" s="54"/>
      <c r="GJ241" s="54"/>
      <c r="GL241" s="86"/>
      <c r="GM241" s="86"/>
      <c r="GR241" s="86"/>
      <c r="GS241" s="86"/>
      <c r="GU241" s="63"/>
      <c r="GV241" s="63"/>
      <c r="GW241" s="63"/>
      <c r="GX241" s="63"/>
      <c r="GZ241" s="63"/>
      <c r="HA241" s="54"/>
      <c r="HD241" s="86"/>
      <c r="HI241" s="86"/>
      <c r="HJ241" s="86"/>
      <c r="HQ241" s="63"/>
      <c r="HR241" s="54"/>
      <c r="HU241" s="86"/>
      <c r="HZ241" s="86"/>
      <c r="IA241" s="86"/>
      <c r="IF241" s="54"/>
      <c r="IK241" s="86"/>
    </row>
    <row r="242" spans="1:245">
      <c r="A242" s="86">
        <v>212</v>
      </c>
      <c r="B242" s="117"/>
      <c r="C242" s="117"/>
      <c r="D242" s="117"/>
      <c r="E242" s="117"/>
      <c r="K242" s="117"/>
      <c r="L242" s="117"/>
      <c r="M242" s="117"/>
      <c r="N242" s="117"/>
      <c r="O242" s="117"/>
      <c r="P242" s="117"/>
      <c r="Q242" s="117"/>
      <c r="R242" s="117"/>
      <c r="S242" s="117"/>
      <c r="T242" s="117"/>
      <c r="U242" s="74"/>
      <c r="V242" s="74"/>
      <c r="W242" s="74"/>
      <c r="X242" s="74"/>
      <c r="Y242" s="74"/>
      <c r="Z242" s="74"/>
      <c r="AA242" s="74"/>
      <c r="AB242" s="74"/>
      <c r="AC242" s="117"/>
      <c r="AD242" s="117"/>
      <c r="AE242" s="117"/>
      <c r="AF242" s="117"/>
      <c r="AG242" s="117"/>
      <c r="AH242" s="117"/>
      <c r="AI242" s="117"/>
      <c r="AJ242" s="117"/>
      <c r="AK242" s="117"/>
      <c r="AL242" s="117"/>
      <c r="AM242" s="117"/>
      <c r="AN242" s="117"/>
      <c r="AO242" s="117"/>
      <c r="AP242" s="117"/>
      <c r="AQ242" s="117"/>
      <c r="AR242" s="300"/>
      <c r="AS242" s="300"/>
      <c r="AT242" s="86"/>
      <c r="AU242" s="162"/>
      <c r="AV242" s="162"/>
      <c r="AW242" s="162"/>
      <c r="AX242" s="162"/>
      <c r="AY242" s="162"/>
      <c r="BB242" s="45"/>
      <c r="BC242" s="45"/>
      <c r="BD242" s="117"/>
      <c r="BE242" s="117"/>
      <c r="BF242" s="99"/>
      <c r="BG242" s="99"/>
      <c r="BH242" s="74"/>
      <c r="BI242" s="117"/>
      <c r="BJ242" s="117"/>
      <c r="BK242" s="117"/>
      <c r="BL242" s="117"/>
      <c r="BM242" s="117"/>
      <c r="BN242" s="117"/>
      <c r="BO242" s="117"/>
      <c r="BP242" s="117"/>
      <c r="BQ242" s="117"/>
      <c r="BR242" s="117"/>
      <c r="BS242" s="117"/>
      <c r="BT242" s="117"/>
      <c r="BU242" s="117"/>
      <c r="BV242" s="117"/>
      <c r="BW242" s="117"/>
      <c r="BX242" s="102"/>
      <c r="BY242" s="102"/>
      <c r="CD242" s="102"/>
      <c r="CE242" s="102"/>
      <c r="CG242" s="86"/>
      <c r="CH242" s="86"/>
      <c r="CI242" s="86"/>
      <c r="CJ242" s="86"/>
      <c r="CL242" s="63"/>
      <c r="CM242" s="54"/>
      <c r="CN242" s="54"/>
      <c r="CO242" s="54"/>
      <c r="CP242" s="54"/>
      <c r="CQ242" s="86"/>
      <c r="CR242" s="63"/>
      <c r="CS242" s="63"/>
      <c r="CT242" s="63"/>
      <c r="CU242" s="63"/>
      <c r="CV242" s="86"/>
      <c r="CW242" s="86"/>
      <c r="CX242" s="86"/>
      <c r="DF242" s="54"/>
      <c r="DG242" s="54"/>
      <c r="DH242" s="63"/>
      <c r="DI242" s="63"/>
      <c r="DJ242" s="63"/>
      <c r="DK242" s="63"/>
      <c r="DL242" s="63"/>
      <c r="DN242" s="86"/>
      <c r="DO242" s="86"/>
      <c r="DP242" s="86"/>
      <c r="DR242" s="63"/>
      <c r="DW242" s="54"/>
      <c r="DX242" s="54"/>
      <c r="DY242" s="63"/>
      <c r="DZ242" s="63"/>
      <c r="EA242" s="63"/>
      <c r="EB242" s="63"/>
      <c r="EC242" s="63"/>
      <c r="EE242" s="86"/>
      <c r="EF242" s="86"/>
      <c r="EG242" s="86"/>
      <c r="EI242" s="63"/>
      <c r="EN242" s="54"/>
      <c r="EQ242" s="86"/>
      <c r="ER242" s="86"/>
      <c r="EX242" s="54"/>
      <c r="FG242" s="86"/>
      <c r="FL242" s="45"/>
      <c r="FT242" s="63"/>
      <c r="FU242" s="54"/>
      <c r="FV242" s="54"/>
      <c r="FW242" s="54"/>
      <c r="FX242" s="86"/>
      <c r="FY242" s="86"/>
      <c r="FZ242" s="86"/>
      <c r="GA242" s="86"/>
      <c r="GB242" s="86"/>
      <c r="GD242" s="63"/>
      <c r="GE242" s="63"/>
      <c r="GF242" s="63"/>
      <c r="GG242" s="63"/>
      <c r="GH242" s="45"/>
      <c r="GI242" s="54"/>
      <c r="GJ242" s="54"/>
      <c r="GL242" s="86"/>
      <c r="GM242" s="86"/>
      <c r="GR242" s="86"/>
      <c r="GS242" s="86"/>
      <c r="GU242" s="63"/>
      <c r="GV242" s="63"/>
      <c r="GW242" s="63"/>
      <c r="GX242" s="63"/>
      <c r="GZ242" s="63"/>
      <c r="HA242" s="54"/>
      <c r="HD242" s="86"/>
      <c r="HI242" s="86"/>
      <c r="HJ242" s="86"/>
      <c r="HQ242" s="63"/>
      <c r="HR242" s="54"/>
      <c r="HU242" s="86"/>
      <c r="HZ242" s="86"/>
      <c r="IA242" s="86"/>
      <c r="IF242" s="54"/>
      <c r="IK242" s="86"/>
    </row>
    <row r="243" spans="1:245">
      <c r="A243" s="86">
        <v>213</v>
      </c>
      <c r="B243" s="117"/>
      <c r="C243" s="117"/>
      <c r="D243" s="117"/>
      <c r="E243" s="117"/>
      <c r="K243" s="117"/>
      <c r="L243" s="117"/>
      <c r="M243" s="117"/>
      <c r="N243" s="117"/>
      <c r="O243" s="117"/>
      <c r="P243" s="117"/>
      <c r="Q243" s="117"/>
      <c r="R243" s="117"/>
      <c r="S243" s="117"/>
      <c r="T243" s="117"/>
      <c r="U243" s="74"/>
      <c r="V243" s="74"/>
      <c r="W243" s="74"/>
      <c r="X243" s="74"/>
      <c r="Y243" s="74"/>
      <c r="Z243" s="74"/>
      <c r="AA243" s="74"/>
      <c r="AB243" s="74"/>
      <c r="AC243" s="117"/>
      <c r="AD243" s="117"/>
      <c r="AE243" s="117"/>
      <c r="AF243" s="117"/>
      <c r="AG243" s="117"/>
      <c r="AH243" s="117"/>
      <c r="AI243" s="117"/>
      <c r="AJ243" s="117"/>
      <c r="AK243" s="117"/>
      <c r="AL243" s="117"/>
      <c r="AM243" s="117"/>
      <c r="AN243" s="117"/>
      <c r="AO243" s="117"/>
      <c r="AP243" s="117"/>
      <c r="AQ243" s="117"/>
      <c r="AR243" s="300"/>
      <c r="AS243" s="300"/>
      <c r="AT243" s="86"/>
      <c r="AU243" s="162"/>
      <c r="AV243" s="162"/>
      <c r="AW243" s="162"/>
      <c r="AX243" s="162"/>
      <c r="AY243" s="162"/>
      <c r="BB243" s="45"/>
      <c r="BC243" s="45"/>
      <c r="BD243" s="117"/>
      <c r="BE243" s="117"/>
      <c r="BF243" s="99"/>
      <c r="BG243" s="99"/>
      <c r="BH243" s="74"/>
      <c r="BI243" s="117"/>
      <c r="BJ243" s="117"/>
      <c r="BK243" s="117"/>
      <c r="BL243" s="117"/>
      <c r="BM243" s="117"/>
      <c r="BN243" s="117"/>
      <c r="BO243" s="117"/>
      <c r="BP243" s="117"/>
      <c r="BQ243" s="117"/>
      <c r="BR243" s="117"/>
      <c r="BS243" s="117"/>
      <c r="BT243" s="117"/>
      <c r="BU243" s="117"/>
      <c r="BV243" s="117"/>
      <c r="BW243" s="117"/>
      <c r="BX243" s="102"/>
      <c r="BY243" s="102"/>
      <c r="CD243" s="102"/>
      <c r="CE243" s="102"/>
      <c r="CG243" s="86"/>
      <c r="CH243" s="86"/>
      <c r="CI243" s="86"/>
      <c r="CJ243" s="86"/>
      <c r="CL243" s="63"/>
      <c r="CM243" s="54"/>
      <c r="CN243" s="54"/>
      <c r="CO243" s="54"/>
      <c r="CP243" s="54"/>
      <c r="CQ243" s="86"/>
      <c r="CR243" s="63"/>
      <c r="CS243" s="63"/>
      <c r="CT243" s="63"/>
      <c r="CU243" s="63"/>
      <c r="CV243" s="86"/>
      <c r="CW243" s="86"/>
      <c r="CX243" s="86"/>
      <c r="DF243" s="54"/>
      <c r="DG243" s="54"/>
      <c r="DH243" s="63"/>
      <c r="DI243" s="63"/>
      <c r="DJ243" s="63"/>
      <c r="DK243" s="63"/>
      <c r="DL243" s="63"/>
      <c r="DN243" s="86"/>
      <c r="DO243" s="86"/>
      <c r="DP243" s="86"/>
      <c r="DR243" s="63"/>
      <c r="DW243" s="54"/>
      <c r="DX243" s="54"/>
      <c r="DY243" s="63"/>
      <c r="DZ243" s="63"/>
      <c r="EA243" s="63"/>
      <c r="EB243" s="63"/>
      <c r="EC243" s="63"/>
      <c r="EE243" s="86"/>
      <c r="EF243" s="86"/>
      <c r="EG243" s="86"/>
      <c r="EI243" s="63"/>
      <c r="EN243" s="54"/>
      <c r="EQ243" s="86"/>
      <c r="ER243" s="86"/>
      <c r="EX243" s="54"/>
      <c r="FG243" s="86"/>
      <c r="FL243" s="45"/>
      <c r="FT243" s="63"/>
      <c r="FU243" s="54"/>
      <c r="FV243" s="54"/>
      <c r="FW243" s="54"/>
      <c r="FX243" s="86"/>
      <c r="FY243" s="86"/>
      <c r="FZ243" s="86"/>
      <c r="GA243" s="86"/>
      <c r="GB243" s="86"/>
      <c r="GD243" s="63"/>
      <c r="GE243" s="63"/>
      <c r="GF243" s="63"/>
      <c r="GG243" s="63"/>
      <c r="GH243" s="45"/>
      <c r="GI243" s="54"/>
      <c r="GJ243" s="54"/>
      <c r="GL243" s="86"/>
      <c r="GM243" s="86"/>
      <c r="GR243" s="86"/>
      <c r="GS243" s="86"/>
      <c r="GU243" s="63"/>
      <c r="GV243" s="63"/>
      <c r="GW243" s="63"/>
      <c r="GX243" s="63"/>
      <c r="GZ243" s="63"/>
      <c r="HA243" s="54"/>
      <c r="HD243" s="86"/>
      <c r="HI243" s="86"/>
      <c r="HJ243" s="86"/>
      <c r="HQ243" s="63"/>
      <c r="HR243" s="54"/>
      <c r="HU243" s="86"/>
      <c r="HZ243" s="86"/>
      <c r="IA243" s="86"/>
      <c r="IF243" s="54"/>
      <c r="IK243" s="86"/>
    </row>
    <row r="244" spans="1:245">
      <c r="A244" s="86">
        <v>214</v>
      </c>
      <c r="B244" s="117"/>
      <c r="C244" s="117"/>
      <c r="D244" s="117"/>
      <c r="E244" s="117"/>
      <c r="K244" s="117"/>
      <c r="L244" s="117"/>
      <c r="M244" s="117"/>
      <c r="N244" s="117"/>
      <c r="O244" s="117"/>
      <c r="P244" s="117"/>
      <c r="Q244" s="117"/>
      <c r="R244" s="117"/>
      <c r="S244" s="117"/>
      <c r="T244" s="117"/>
      <c r="U244" s="74"/>
      <c r="V244" s="74"/>
      <c r="W244" s="74"/>
      <c r="X244" s="74"/>
      <c r="Y244" s="74"/>
      <c r="Z244" s="74"/>
      <c r="AA244" s="74"/>
      <c r="AB244" s="74"/>
      <c r="AC244" s="117"/>
      <c r="AD244" s="117"/>
      <c r="AE244" s="117"/>
      <c r="AF244" s="117"/>
      <c r="AG244" s="117"/>
      <c r="AH244" s="117"/>
      <c r="AI244" s="117"/>
      <c r="AJ244" s="117"/>
      <c r="AK244" s="117"/>
      <c r="AL244" s="117"/>
      <c r="AM244" s="117"/>
      <c r="AN244" s="117"/>
      <c r="AO244" s="117"/>
      <c r="AP244" s="117"/>
      <c r="AQ244" s="117"/>
      <c r="AR244" s="300"/>
      <c r="AS244" s="300"/>
      <c r="AT244" s="86"/>
      <c r="AU244" s="162"/>
      <c r="AV244" s="162"/>
      <c r="AW244" s="162"/>
      <c r="AX244" s="162"/>
      <c r="AY244" s="162"/>
      <c r="BB244" s="45"/>
      <c r="BC244" s="45"/>
      <c r="BD244" s="117"/>
      <c r="BE244" s="117"/>
      <c r="BF244" s="99"/>
      <c r="BG244" s="99"/>
      <c r="BH244" s="74"/>
      <c r="BI244" s="117"/>
      <c r="BJ244" s="117"/>
      <c r="BK244" s="117"/>
      <c r="BL244" s="117"/>
      <c r="BM244" s="117"/>
      <c r="BN244" s="117"/>
      <c r="BO244" s="117"/>
      <c r="BP244" s="117"/>
      <c r="BQ244" s="117"/>
      <c r="BR244" s="117"/>
      <c r="BS244" s="117"/>
      <c r="BT244" s="117"/>
      <c r="BU244" s="117"/>
      <c r="BV244" s="117"/>
      <c r="BW244" s="117"/>
      <c r="BX244" s="102"/>
      <c r="BY244" s="102"/>
      <c r="CD244" s="102"/>
      <c r="CE244" s="102"/>
      <c r="CG244" s="86"/>
      <c r="CH244" s="86"/>
      <c r="CI244" s="86"/>
      <c r="CJ244" s="86"/>
      <c r="CL244" s="63"/>
      <c r="CM244" s="54"/>
      <c r="CN244" s="54"/>
      <c r="CO244" s="54"/>
      <c r="CP244" s="54"/>
      <c r="CQ244" s="86"/>
      <c r="CR244" s="63"/>
      <c r="CS244" s="63"/>
      <c r="CT244" s="63"/>
      <c r="CU244" s="63"/>
      <c r="CV244" s="86"/>
      <c r="CW244" s="86"/>
      <c r="CX244" s="86"/>
      <c r="DF244" s="54"/>
      <c r="DG244" s="54"/>
      <c r="DH244" s="63"/>
      <c r="DI244" s="63"/>
      <c r="DJ244" s="63"/>
      <c r="DK244" s="63"/>
      <c r="DL244" s="63"/>
      <c r="DN244" s="86"/>
      <c r="DO244" s="86"/>
      <c r="DP244" s="86"/>
      <c r="DR244" s="63"/>
      <c r="DW244" s="54"/>
      <c r="DX244" s="54"/>
      <c r="DY244" s="63"/>
      <c r="DZ244" s="63"/>
      <c r="EA244" s="63"/>
      <c r="EB244" s="63"/>
      <c r="EC244" s="63"/>
      <c r="EE244" s="86"/>
      <c r="EF244" s="86"/>
      <c r="EG244" s="86"/>
      <c r="EI244" s="63"/>
      <c r="EN244" s="54"/>
      <c r="EQ244" s="86"/>
      <c r="ER244" s="86"/>
      <c r="EX244" s="54"/>
      <c r="FG244" s="86"/>
      <c r="FL244" s="45"/>
      <c r="FT244" s="63"/>
      <c r="FU244" s="54"/>
      <c r="FV244" s="54"/>
      <c r="FW244" s="54"/>
      <c r="FX244" s="86"/>
      <c r="FY244" s="86"/>
      <c r="FZ244" s="86"/>
      <c r="GA244" s="86"/>
      <c r="GB244" s="86"/>
      <c r="GD244" s="63"/>
      <c r="GE244" s="63"/>
      <c r="GF244" s="63"/>
      <c r="GG244" s="63"/>
      <c r="GH244" s="45"/>
      <c r="GI244" s="54"/>
      <c r="GJ244" s="54"/>
      <c r="GL244" s="86"/>
      <c r="GM244" s="86"/>
      <c r="GR244" s="86"/>
      <c r="GS244" s="86"/>
      <c r="GU244" s="63"/>
      <c r="GV244" s="63"/>
      <c r="GW244" s="63"/>
      <c r="GX244" s="63"/>
      <c r="GZ244" s="63"/>
      <c r="HA244" s="54"/>
      <c r="HD244" s="86"/>
      <c r="HI244" s="86"/>
      <c r="HJ244" s="86"/>
      <c r="HQ244" s="63"/>
      <c r="HR244" s="54"/>
      <c r="HU244" s="86"/>
      <c r="HZ244" s="86"/>
      <c r="IA244" s="86"/>
      <c r="IF244" s="54"/>
      <c r="IK244" s="86"/>
    </row>
    <row r="245" spans="1:245">
      <c r="A245" s="86">
        <v>215</v>
      </c>
      <c r="B245" s="117"/>
      <c r="C245" s="117"/>
      <c r="D245" s="117"/>
      <c r="E245" s="117"/>
      <c r="K245" s="117"/>
      <c r="L245" s="117"/>
      <c r="M245" s="117"/>
      <c r="N245" s="117"/>
      <c r="O245" s="117"/>
      <c r="P245" s="117"/>
      <c r="Q245" s="117"/>
      <c r="R245" s="117"/>
      <c r="S245" s="117"/>
      <c r="T245" s="117"/>
      <c r="U245" s="74"/>
      <c r="V245" s="74"/>
      <c r="W245" s="74"/>
      <c r="X245" s="74"/>
      <c r="Y245" s="74"/>
      <c r="Z245" s="74"/>
      <c r="AA245" s="74"/>
      <c r="AB245" s="74"/>
      <c r="AC245" s="117"/>
      <c r="AD245" s="117"/>
      <c r="AE245" s="117"/>
      <c r="AF245" s="117"/>
      <c r="AG245" s="117"/>
      <c r="AH245" s="117"/>
      <c r="AI245" s="117"/>
      <c r="AJ245" s="117"/>
      <c r="AK245" s="117"/>
      <c r="AL245" s="117"/>
      <c r="AM245" s="117"/>
      <c r="AN245" s="117"/>
      <c r="AO245" s="117"/>
      <c r="AP245" s="117"/>
      <c r="AQ245" s="117"/>
      <c r="AR245" s="300"/>
      <c r="AS245" s="300"/>
      <c r="AT245" s="86"/>
      <c r="AU245" s="162"/>
      <c r="AV245" s="162"/>
      <c r="AW245" s="162"/>
      <c r="AX245" s="162"/>
      <c r="AY245" s="162"/>
      <c r="BB245" s="45"/>
      <c r="BC245" s="45"/>
      <c r="BD245" s="117"/>
      <c r="BE245" s="117"/>
      <c r="BF245" s="99"/>
      <c r="BG245" s="99"/>
      <c r="BH245" s="74"/>
      <c r="BI245" s="117"/>
      <c r="BJ245" s="117"/>
      <c r="BK245" s="117"/>
      <c r="BL245" s="117"/>
      <c r="BM245" s="117"/>
      <c r="BN245" s="117"/>
      <c r="BO245" s="117"/>
      <c r="BP245" s="117"/>
      <c r="BQ245" s="117"/>
      <c r="BR245" s="117"/>
      <c r="BS245" s="117"/>
      <c r="BT245" s="117"/>
      <c r="BU245" s="117"/>
      <c r="BV245" s="117"/>
      <c r="BW245" s="117"/>
      <c r="BX245" s="102"/>
      <c r="BY245" s="102"/>
      <c r="CD245" s="102"/>
      <c r="CE245" s="102"/>
      <c r="CG245" s="86"/>
      <c r="CH245" s="86"/>
      <c r="CI245" s="86"/>
      <c r="CJ245" s="86"/>
      <c r="CL245" s="63"/>
      <c r="CM245" s="54"/>
      <c r="CN245" s="54"/>
      <c r="CO245" s="54"/>
      <c r="CP245" s="54"/>
      <c r="CQ245" s="86"/>
      <c r="CR245" s="63"/>
      <c r="CS245" s="63"/>
      <c r="CT245" s="63"/>
      <c r="CU245" s="63"/>
      <c r="CV245" s="86"/>
      <c r="CW245" s="86"/>
      <c r="CX245" s="86"/>
      <c r="DF245" s="54"/>
      <c r="DG245" s="54"/>
      <c r="DH245" s="63"/>
      <c r="DI245" s="63"/>
      <c r="DJ245" s="63"/>
      <c r="DK245" s="63"/>
      <c r="DL245" s="63"/>
      <c r="DN245" s="86"/>
      <c r="DO245" s="86"/>
      <c r="DP245" s="86"/>
      <c r="DR245" s="63"/>
      <c r="DW245" s="54"/>
      <c r="DX245" s="54"/>
      <c r="DY245" s="63"/>
      <c r="DZ245" s="63"/>
      <c r="EA245" s="63"/>
      <c r="EB245" s="63"/>
      <c r="EC245" s="63"/>
      <c r="EE245" s="86"/>
      <c r="EF245" s="86"/>
      <c r="EG245" s="86"/>
      <c r="EI245" s="63"/>
      <c r="EN245" s="54"/>
      <c r="EQ245" s="86"/>
      <c r="ER245" s="86"/>
      <c r="EX245" s="54"/>
      <c r="FG245" s="86"/>
      <c r="FL245" s="45"/>
      <c r="FT245" s="63"/>
      <c r="FU245" s="54"/>
      <c r="FV245" s="54"/>
      <c r="FW245" s="54"/>
      <c r="FX245" s="86"/>
      <c r="FY245" s="86"/>
      <c r="FZ245" s="86"/>
      <c r="GA245" s="86"/>
      <c r="GB245" s="86"/>
      <c r="GD245" s="63"/>
      <c r="GE245" s="63"/>
      <c r="GF245" s="63"/>
      <c r="GG245" s="63"/>
      <c r="GH245" s="45"/>
      <c r="GI245" s="54"/>
      <c r="GJ245" s="54"/>
      <c r="GL245" s="86"/>
      <c r="GM245" s="86"/>
      <c r="GR245" s="86"/>
      <c r="GS245" s="86"/>
      <c r="GU245" s="63"/>
      <c r="GV245" s="63"/>
      <c r="GW245" s="63"/>
      <c r="GX245" s="63"/>
      <c r="GZ245" s="63"/>
      <c r="HA245" s="54"/>
      <c r="HD245" s="86"/>
      <c r="HI245" s="86"/>
      <c r="HJ245" s="86"/>
      <c r="HQ245" s="63"/>
      <c r="HR245" s="54"/>
      <c r="HU245" s="86"/>
      <c r="HZ245" s="86"/>
      <c r="IA245" s="86"/>
      <c r="IF245" s="54"/>
      <c r="IK245" s="86"/>
    </row>
    <row r="246" spans="1:245">
      <c r="A246" s="86">
        <v>216</v>
      </c>
      <c r="B246" s="117"/>
      <c r="C246" s="117"/>
      <c r="D246" s="117"/>
      <c r="E246" s="117"/>
      <c r="K246" s="117"/>
      <c r="L246" s="117"/>
      <c r="M246" s="117"/>
      <c r="N246" s="117"/>
      <c r="O246" s="117"/>
      <c r="P246" s="117"/>
      <c r="Q246" s="117"/>
      <c r="R246" s="117"/>
      <c r="S246" s="117"/>
      <c r="T246" s="117"/>
      <c r="U246" s="74"/>
      <c r="V246" s="74"/>
      <c r="W246" s="74"/>
      <c r="X246" s="74"/>
      <c r="Y246" s="74"/>
      <c r="Z246" s="74"/>
      <c r="AA246" s="74"/>
      <c r="AB246" s="74"/>
      <c r="AC246" s="117"/>
      <c r="AD246" s="117"/>
      <c r="AE246" s="117"/>
      <c r="AF246" s="117"/>
      <c r="AG246" s="117"/>
      <c r="AH246" s="117"/>
      <c r="AI246" s="117"/>
      <c r="AJ246" s="117"/>
      <c r="AK246" s="117"/>
      <c r="AL246" s="117"/>
      <c r="AM246" s="117"/>
      <c r="AN246" s="117"/>
      <c r="AO246" s="117"/>
      <c r="AP246" s="117"/>
      <c r="AQ246" s="117"/>
      <c r="AR246" s="300"/>
      <c r="AS246" s="300"/>
      <c r="AT246" s="86"/>
      <c r="AU246" s="162"/>
      <c r="AV246" s="162"/>
      <c r="AW246" s="162"/>
      <c r="AX246" s="162"/>
      <c r="AY246" s="162"/>
      <c r="BB246" s="45"/>
      <c r="BC246" s="45"/>
      <c r="BD246" s="117"/>
      <c r="BE246" s="117"/>
      <c r="BF246" s="99"/>
      <c r="BG246" s="99"/>
      <c r="BH246" s="74"/>
      <c r="BI246" s="117"/>
      <c r="BJ246" s="117"/>
      <c r="BK246" s="117"/>
      <c r="BL246" s="117"/>
      <c r="BM246" s="117"/>
      <c r="BN246" s="117"/>
      <c r="BO246" s="117"/>
      <c r="BP246" s="117"/>
      <c r="BQ246" s="117"/>
      <c r="BR246" s="117"/>
      <c r="BS246" s="117"/>
      <c r="BT246" s="117"/>
      <c r="BU246" s="117"/>
      <c r="BV246" s="117"/>
      <c r="BW246" s="117"/>
      <c r="BX246" s="102"/>
      <c r="BY246" s="102"/>
      <c r="CD246" s="102"/>
      <c r="CE246" s="102"/>
      <c r="CG246" s="86"/>
      <c r="CH246" s="86"/>
      <c r="CI246" s="86"/>
      <c r="CJ246" s="86"/>
      <c r="CL246" s="63"/>
      <c r="CM246" s="54"/>
      <c r="CN246" s="54"/>
      <c r="CO246" s="54"/>
      <c r="CP246" s="54"/>
      <c r="CQ246" s="86"/>
      <c r="CR246" s="63"/>
      <c r="CS246" s="63"/>
      <c r="CT246" s="63"/>
      <c r="CU246" s="63"/>
      <c r="CV246" s="86"/>
      <c r="CW246" s="86"/>
      <c r="CX246" s="86"/>
      <c r="DF246" s="54"/>
      <c r="DG246" s="54"/>
      <c r="DH246" s="63"/>
      <c r="DI246" s="63"/>
      <c r="DJ246" s="63"/>
      <c r="DK246" s="63"/>
      <c r="DL246" s="63"/>
      <c r="DN246" s="86"/>
      <c r="DO246" s="86"/>
      <c r="DP246" s="86"/>
      <c r="DR246" s="63"/>
      <c r="DW246" s="54"/>
      <c r="DX246" s="54"/>
      <c r="DY246" s="63"/>
      <c r="DZ246" s="63"/>
      <c r="EA246" s="63"/>
      <c r="EB246" s="63"/>
      <c r="EC246" s="63"/>
      <c r="EE246" s="86"/>
      <c r="EF246" s="86"/>
      <c r="EG246" s="86"/>
      <c r="EI246" s="63"/>
      <c r="EN246" s="54"/>
      <c r="EQ246" s="86"/>
      <c r="ER246" s="86"/>
      <c r="EX246" s="54"/>
      <c r="FG246" s="86"/>
      <c r="FL246" s="45"/>
      <c r="FT246" s="63"/>
      <c r="FU246" s="54"/>
      <c r="FV246" s="54"/>
      <c r="FW246" s="54"/>
      <c r="FX246" s="86"/>
      <c r="FY246" s="86"/>
      <c r="FZ246" s="86"/>
      <c r="GA246" s="86"/>
      <c r="GB246" s="86"/>
      <c r="GD246" s="63"/>
      <c r="GE246" s="63"/>
      <c r="GF246" s="63"/>
      <c r="GG246" s="63"/>
      <c r="GH246" s="45"/>
      <c r="GI246" s="54"/>
      <c r="GJ246" s="54"/>
      <c r="GL246" s="86"/>
      <c r="GM246" s="86"/>
      <c r="GR246" s="86"/>
      <c r="GS246" s="86"/>
      <c r="GU246" s="63"/>
      <c r="GV246" s="63"/>
      <c r="GW246" s="63"/>
      <c r="GX246" s="63"/>
      <c r="GZ246" s="63"/>
      <c r="HA246" s="54"/>
      <c r="HD246" s="86"/>
      <c r="HI246" s="86"/>
      <c r="HJ246" s="86"/>
      <c r="HQ246" s="63"/>
      <c r="HR246" s="54"/>
      <c r="HU246" s="86"/>
      <c r="HZ246" s="86"/>
      <c r="IA246" s="86"/>
      <c r="IF246" s="54"/>
      <c r="IK246" s="86"/>
    </row>
    <row r="247" spans="1:245">
      <c r="A247" s="86">
        <v>217</v>
      </c>
      <c r="B247" s="117"/>
      <c r="C247" s="117"/>
      <c r="D247" s="117"/>
      <c r="E247" s="117"/>
      <c r="K247" s="117"/>
      <c r="L247" s="117"/>
      <c r="M247" s="117"/>
      <c r="N247" s="117"/>
      <c r="O247" s="117"/>
      <c r="P247" s="117"/>
      <c r="Q247" s="117"/>
      <c r="R247" s="117"/>
      <c r="S247" s="117"/>
      <c r="T247" s="117"/>
      <c r="U247" s="74"/>
      <c r="V247" s="74"/>
      <c r="W247" s="74"/>
      <c r="X247" s="74"/>
      <c r="Y247" s="74"/>
      <c r="Z247" s="74"/>
      <c r="AA247" s="74"/>
      <c r="AB247" s="74"/>
      <c r="AC247" s="117"/>
      <c r="AD247" s="117"/>
      <c r="AE247" s="117"/>
      <c r="AF247" s="117"/>
      <c r="AG247" s="117"/>
      <c r="AH247" s="117"/>
      <c r="AI247" s="117"/>
      <c r="AJ247" s="117"/>
      <c r="AK247" s="117"/>
      <c r="AL247" s="117"/>
      <c r="AM247" s="117"/>
      <c r="AN247" s="117"/>
      <c r="AO247" s="117"/>
      <c r="AP247" s="117"/>
      <c r="AQ247" s="117"/>
      <c r="AR247" s="300"/>
      <c r="AS247" s="300"/>
      <c r="AT247" s="86"/>
      <c r="AU247" s="162"/>
      <c r="AV247" s="162"/>
      <c r="AW247" s="162"/>
      <c r="AX247" s="162"/>
      <c r="AY247" s="162"/>
      <c r="BB247" s="45"/>
      <c r="BC247" s="45"/>
      <c r="BD247" s="117"/>
      <c r="BE247" s="117"/>
      <c r="BF247" s="99"/>
      <c r="BG247" s="99"/>
      <c r="BH247" s="74"/>
      <c r="BI247" s="117"/>
      <c r="BJ247" s="117"/>
      <c r="BK247" s="117"/>
      <c r="BL247" s="117"/>
      <c r="BM247" s="117"/>
      <c r="BN247" s="117"/>
      <c r="BO247" s="117"/>
      <c r="BP247" s="117"/>
      <c r="BQ247" s="117"/>
      <c r="BR247" s="117"/>
      <c r="BS247" s="117"/>
      <c r="BT247" s="117"/>
      <c r="BU247" s="117"/>
      <c r="BV247" s="117"/>
      <c r="BW247" s="117"/>
      <c r="BX247" s="102"/>
      <c r="BY247" s="102"/>
      <c r="CD247" s="102"/>
      <c r="CE247" s="102"/>
      <c r="CG247" s="86"/>
      <c r="CH247" s="86"/>
      <c r="CI247" s="86"/>
      <c r="CJ247" s="86"/>
      <c r="CL247" s="63"/>
      <c r="CM247" s="54"/>
      <c r="CN247" s="54"/>
      <c r="CO247" s="54"/>
      <c r="CP247" s="54"/>
      <c r="CQ247" s="86"/>
      <c r="CR247" s="63"/>
      <c r="CS247" s="63"/>
      <c r="CT247" s="63"/>
      <c r="CU247" s="63"/>
      <c r="CV247" s="86"/>
      <c r="CW247" s="86"/>
      <c r="CX247" s="86"/>
      <c r="DF247" s="54"/>
      <c r="DG247" s="54"/>
      <c r="DH247" s="63"/>
      <c r="DI247" s="63"/>
      <c r="DJ247" s="63"/>
      <c r="DK247" s="63"/>
      <c r="DL247" s="63"/>
      <c r="DN247" s="86"/>
      <c r="DO247" s="86"/>
      <c r="DP247" s="86"/>
      <c r="DR247" s="63"/>
      <c r="DW247" s="54"/>
      <c r="DX247" s="54"/>
      <c r="DY247" s="63"/>
      <c r="DZ247" s="63"/>
      <c r="EA247" s="63"/>
      <c r="EB247" s="63"/>
      <c r="EC247" s="63"/>
      <c r="EE247" s="86"/>
      <c r="EF247" s="86"/>
      <c r="EG247" s="86"/>
      <c r="EI247" s="63"/>
      <c r="EN247" s="54"/>
      <c r="EQ247" s="86"/>
      <c r="ER247" s="86"/>
      <c r="EX247" s="54"/>
      <c r="FG247" s="86"/>
      <c r="FL247" s="45"/>
      <c r="FT247" s="63"/>
      <c r="FU247" s="54"/>
      <c r="FV247" s="54"/>
      <c r="FW247" s="54"/>
      <c r="FX247" s="86"/>
      <c r="FY247" s="86"/>
      <c r="FZ247" s="86"/>
      <c r="GA247" s="86"/>
      <c r="GB247" s="86"/>
      <c r="GD247" s="63"/>
      <c r="GE247" s="63"/>
      <c r="GF247" s="63"/>
      <c r="GG247" s="63"/>
      <c r="GH247" s="45"/>
      <c r="GI247" s="54"/>
      <c r="GJ247" s="54"/>
      <c r="GL247" s="86"/>
      <c r="GM247" s="86"/>
      <c r="GR247" s="86"/>
      <c r="GS247" s="86"/>
      <c r="GU247" s="63"/>
      <c r="GV247" s="63"/>
      <c r="GW247" s="63"/>
      <c r="GX247" s="63"/>
      <c r="GZ247" s="63"/>
      <c r="HA247" s="54"/>
      <c r="HD247" s="86"/>
      <c r="HI247" s="86"/>
      <c r="HJ247" s="86"/>
      <c r="HQ247" s="63"/>
      <c r="HR247" s="54"/>
      <c r="HU247" s="86"/>
      <c r="HZ247" s="86"/>
      <c r="IA247" s="86"/>
      <c r="IF247" s="54"/>
      <c r="IK247" s="86"/>
    </row>
    <row r="248" spans="1:245">
      <c r="A248" s="86">
        <v>218</v>
      </c>
      <c r="B248" s="117"/>
      <c r="C248" s="117"/>
      <c r="D248" s="117"/>
      <c r="E248" s="117"/>
      <c r="K248" s="117"/>
      <c r="L248" s="117"/>
      <c r="M248" s="117"/>
      <c r="N248" s="117"/>
      <c r="O248" s="117"/>
      <c r="P248" s="117"/>
      <c r="Q248" s="117"/>
      <c r="R248" s="117"/>
      <c r="S248" s="117"/>
      <c r="T248" s="117"/>
      <c r="U248" s="74"/>
      <c r="V248" s="74"/>
      <c r="W248" s="74"/>
      <c r="X248" s="74"/>
      <c r="Y248" s="74"/>
      <c r="Z248" s="74"/>
      <c r="AA248" s="74"/>
      <c r="AB248" s="74"/>
      <c r="AC248" s="117"/>
      <c r="AD248" s="117"/>
      <c r="AE248" s="117"/>
      <c r="AF248" s="117"/>
      <c r="AG248" s="117"/>
      <c r="AH248" s="117"/>
      <c r="AI248" s="117"/>
      <c r="AJ248" s="117"/>
      <c r="AK248" s="117"/>
      <c r="AL248" s="117"/>
      <c r="AM248" s="117"/>
      <c r="AN248" s="117"/>
      <c r="AO248" s="117"/>
      <c r="AP248" s="117"/>
      <c r="AQ248" s="117"/>
      <c r="AR248" s="300"/>
      <c r="AS248" s="300"/>
      <c r="AT248" s="86"/>
      <c r="AU248" s="162"/>
      <c r="AV248" s="162"/>
      <c r="AW248" s="162"/>
      <c r="AX248" s="162"/>
      <c r="AY248" s="162"/>
      <c r="BB248" s="45"/>
      <c r="BC248" s="45"/>
      <c r="BD248" s="117"/>
      <c r="BE248" s="117"/>
      <c r="BF248" s="99"/>
      <c r="BG248" s="99"/>
      <c r="BH248" s="74"/>
      <c r="BI248" s="117"/>
      <c r="BJ248" s="117"/>
      <c r="BK248" s="117"/>
      <c r="BL248" s="117"/>
      <c r="BM248" s="117"/>
      <c r="BN248" s="117"/>
      <c r="BO248" s="117"/>
      <c r="BP248" s="117"/>
      <c r="BQ248" s="117"/>
      <c r="BR248" s="117"/>
      <c r="BS248" s="117"/>
      <c r="BT248" s="117"/>
      <c r="BU248" s="117"/>
      <c r="BV248" s="117"/>
      <c r="BW248" s="117"/>
      <c r="BX248" s="102"/>
      <c r="BY248" s="102"/>
      <c r="CD248" s="102"/>
      <c r="CE248" s="102"/>
      <c r="CG248" s="86"/>
      <c r="CH248" s="86"/>
      <c r="CI248" s="86"/>
      <c r="CJ248" s="86"/>
      <c r="CL248" s="63"/>
      <c r="CM248" s="54"/>
      <c r="CN248" s="54"/>
      <c r="CO248" s="54"/>
      <c r="CP248" s="54"/>
      <c r="CQ248" s="86"/>
      <c r="CR248" s="63"/>
      <c r="CS248" s="63"/>
      <c r="CT248" s="63"/>
      <c r="CU248" s="63"/>
      <c r="CV248" s="86"/>
      <c r="CW248" s="86"/>
      <c r="CX248" s="86"/>
      <c r="DF248" s="54"/>
      <c r="DG248" s="54"/>
      <c r="DH248" s="63"/>
      <c r="DI248" s="63"/>
      <c r="DJ248" s="63"/>
      <c r="DK248" s="63"/>
      <c r="DL248" s="63"/>
      <c r="DN248" s="86"/>
      <c r="DO248" s="86"/>
      <c r="DP248" s="86"/>
      <c r="DR248" s="63"/>
      <c r="DW248" s="54"/>
      <c r="DX248" s="54"/>
      <c r="DY248" s="63"/>
      <c r="DZ248" s="63"/>
      <c r="EA248" s="63"/>
      <c r="EB248" s="63"/>
      <c r="EC248" s="63"/>
      <c r="EE248" s="86"/>
      <c r="EF248" s="86"/>
      <c r="EG248" s="86"/>
      <c r="EI248" s="63"/>
      <c r="EN248" s="54"/>
      <c r="EQ248" s="86"/>
      <c r="ER248" s="86"/>
      <c r="EX248" s="54"/>
      <c r="FG248" s="86"/>
      <c r="FL248" s="45"/>
      <c r="FT248" s="63"/>
      <c r="FU248" s="54"/>
      <c r="FV248" s="54"/>
      <c r="FW248" s="54"/>
      <c r="FX248" s="86"/>
      <c r="FY248" s="86"/>
      <c r="FZ248" s="86"/>
      <c r="GA248" s="86"/>
      <c r="GB248" s="86"/>
      <c r="GD248" s="63"/>
      <c r="GE248" s="63"/>
      <c r="GF248" s="63"/>
      <c r="GG248" s="63"/>
      <c r="GH248" s="45"/>
      <c r="GI248" s="54"/>
      <c r="GJ248" s="54"/>
      <c r="GL248" s="86"/>
      <c r="GM248" s="86"/>
      <c r="GR248" s="86"/>
      <c r="GS248" s="86"/>
      <c r="GU248" s="63"/>
      <c r="GV248" s="63"/>
      <c r="GW248" s="63"/>
      <c r="GX248" s="63"/>
      <c r="GZ248" s="63"/>
      <c r="HA248" s="54"/>
      <c r="HD248" s="86"/>
      <c r="HI248" s="86"/>
      <c r="HJ248" s="86"/>
      <c r="HQ248" s="63"/>
      <c r="HR248" s="54"/>
      <c r="HU248" s="86"/>
      <c r="HZ248" s="86"/>
      <c r="IA248" s="86"/>
      <c r="IF248" s="54"/>
      <c r="IK248" s="86"/>
    </row>
    <row r="249" spans="1:245">
      <c r="A249" s="86">
        <v>219</v>
      </c>
      <c r="B249" s="117"/>
      <c r="C249" s="117"/>
      <c r="D249" s="117"/>
      <c r="E249" s="117"/>
      <c r="K249" s="117"/>
      <c r="L249" s="117"/>
      <c r="M249" s="117"/>
      <c r="N249" s="117"/>
      <c r="O249" s="117"/>
      <c r="P249" s="117"/>
      <c r="Q249" s="117"/>
      <c r="R249" s="117"/>
      <c r="S249" s="117"/>
      <c r="T249" s="117"/>
      <c r="U249" s="74"/>
      <c r="V249" s="74"/>
      <c r="W249" s="74"/>
      <c r="X249" s="74"/>
      <c r="Y249" s="74"/>
      <c r="Z249" s="74"/>
      <c r="AA249" s="74"/>
      <c r="AB249" s="74"/>
      <c r="AC249" s="117"/>
      <c r="AD249" s="117"/>
      <c r="AE249" s="117"/>
      <c r="AF249" s="117"/>
      <c r="AG249" s="117"/>
      <c r="AH249" s="117"/>
      <c r="AI249" s="117"/>
      <c r="AJ249" s="117"/>
      <c r="AK249" s="117"/>
      <c r="AL249" s="117"/>
      <c r="AM249" s="117"/>
      <c r="AN249" s="117"/>
      <c r="AO249" s="117"/>
      <c r="AP249" s="117"/>
      <c r="AQ249" s="117"/>
      <c r="AR249" s="300"/>
      <c r="AS249" s="300"/>
      <c r="AT249" s="86"/>
      <c r="AU249" s="162"/>
      <c r="AV249" s="162"/>
      <c r="AW249" s="162"/>
      <c r="AX249" s="162"/>
      <c r="AY249" s="162"/>
      <c r="BB249" s="45"/>
      <c r="BC249" s="45"/>
      <c r="BD249" s="117"/>
      <c r="BE249" s="117"/>
      <c r="BF249" s="99"/>
      <c r="BG249" s="99"/>
      <c r="BH249" s="74"/>
      <c r="BI249" s="117"/>
      <c r="BJ249" s="117"/>
      <c r="BK249" s="117"/>
      <c r="BL249" s="117"/>
      <c r="BM249" s="117"/>
      <c r="BN249" s="117"/>
      <c r="BO249" s="117"/>
      <c r="BP249" s="117"/>
      <c r="BQ249" s="117"/>
      <c r="BR249" s="117"/>
      <c r="BS249" s="117"/>
      <c r="BT249" s="117"/>
      <c r="BU249" s="117"/>
      <c r="BV249" s="117"/>
      <c r="BW249" s="117"/>
      <c r="BX249" s="102"/>
      <c r="BY249" s="102"/>
      <c r="CD249" s="102"/>
      <c r="CE249" s="102"/>
      <c r="CG249" s="86"/>
      <c r="CH249" s="86"/>
      <c r="CI249" s="86"/>
      <c r="CJ249" s="86"/>
      <c r="CL249" s="63"/>
      <c r="CM249" s="54"/>
      <c r="CN249" s="54"/>
      <c r="CO249" s="54"/>
      <c r="CP249" s="54"/>
      <c r="CQ249" s="86"/>
      <c r="CR249" s="63"/>
      <c r="CS249" s="63"/>
      <c r="CT249" s="63"/>
      <c r="CU249" s="63"/>
      <c r="CV249" s="86"/>
      <c r="CW249" s="86"/>
      <c r="CX249" s="86"/>
      <c r="DF249" s="54"/>
      <c r="DG249" s="54"/>
      <c r="DH249" s="63"/>
      <c r="DI249" s="63"/>
      <c r="DJ249" s="63"/>
      <c r="DK249" s="63"/>
      <c r="DL249" s="63"/>
      <c r="DN249" s="86"/>
      <c r="DO249" s="86"/>
      <c r="DP249" s="86"/>
      <c r="DR249" s="63"/>
      <c r="DW249" s="54"/>
      <c r="DX249" s="54"/>
      <c r="DY249" s="63"/>
      <c r="DZ249" s="63"/>
      <c r="EA249" s="63"/>
      <c r="EB249" s="63"/>
      <c r="EC249" s="63"/>
      <c r="EE249" s="86"/>
      <c r="EF249" s="86"/>
      <c r="EG249" s="86"/>
      <c r="EI249" s="63"/>
      <c r="EN249" s="54"/>
      <c r="EQ249" s="86"/>
      <c r="ER249" s="86"/>
      <c r="EX249" s="54"/>
      <c r="FG249" s="86"/>
      <c r="FL249" s="45"/>
      <c r="FT249" s="63"/>
      <c r="FU249" s="54"/>
      <c r="FV249" s="54"/>
      <c r="FW249" s="54"/>
      <c r="FX249" s="86"/>
      <c r="FY249" s="86"/>
      <c r="FZ249" s="86"/>
      <c r="GA249" s="86"/>
      <c r="GB249" s="86"/>
      <c r="GD249" s="63"/>
      <c r="GE249" s="63"/>
      <c r="GF249" s="63"/>
      <c r="GG249" s="63"/>
      <c r="GH249" s="45"/>
      <c r="GI249" s="54"/>
      <c r="GJ249" s="54"/>
      <c r="GL249" s="86"/>
      <c r="GM249" s="86"/>
      <c r="GR249" s="86"/>
      <c r="GS249" s="86"/>
      <c r="GU249" s="63"/>
      <c r="GV249" s="63"/>
      <c r="GW249" s="63"/>
      <c r="GX249" s="63"/>
      <c r="GZ249" s="63"/>
      <c r="HA249" s="54"/>
      <c r="HD249" s="86"/>
      <c r="HI249" s="86"/>
      <c r="HJ249" s="86"/>
      <c r="HQ249" s="63"/>
      <c r="HR249" s="54"/>
      <c r="HU249" s="86"/>
      <c r="HZ249" s="86"/>
      <c r="IA249" s="86"/>
      <c r="IF249" s="54"/>
      <c r="IK249" s="86"/>
    </row>
    <row r="250" spans="1:245">
      <c r="A250" s="86">
        <v>220</v>
      </c>
      <c r="B250" s="117"/>
      <c r="C250" s="117"/>
      <c r="D250" s="117"/>
      <c r="E250" s="117"/>
      <c r="K250" s="117"/>
      <c r="L250" s="117"/>
      <c r="M250" s="117"/>
      <c r="N250" s="117"/>
      <c r="O250" s="117"/>
      <c r="P250" s="117"/>
      <c r="Q250" s="117"/>
      <c r="R250" s="117"/>
      <c r="S250" s="117"/>
      <c r="T250" s="117"/>
      <c r="U250" s="74"/>
      <c r="V250" s="74"/>
      <c r="W250" s="74"/>
      <c r="X250" s="74"/>
      <c r="Y250" s="74"/>
      <c r="Z250" s="74"/>
      <c r="AA250" s="74"/>
      <c r="AB250" s="74"/>
      <c r="AC250" s="117"/>
      <c r="AD250" s="117"/>
      <c r="AE250" s="117"/>
      <c r="AF250" s="117"/>
      <c r="AG250" s="117"/>
      <c r="AH250" s="117"/>
      <c r="AI250" s="117"/>
      <c r="AJ250" s="117"/>
      <c r="AK250" s="117"/>
      <c r="AL250" s="117"/>
      <c r="AM250" s="117"/>
      <c r="AN250" s="117"/>
      <c r="AO250" s="117"/>
      <c r="AP250" s="117"/>
      <c r="AQ250" s="117"/>
      <c r="AR250" s="300"/>
      <c r="AS250" s="300"/>
      <c r="AT250" s="86"/>
      <c r="AU250" s="162"/>
      <c r="AV250" s="162"/>
      <c r="AW250" s="162"/>
      <c r="AX250" s="162"/>
      <c r="AY250" s="162"/>
      <c r="BB250" s="45"/>
      <c r="BC250" s="45"/>
      <c r="BD250" s="117"/>
      <c r="BE250" s="117"/>
      <c r="BF250" s="99"/>
      <c r="BG250" s="99"/>
      <c r="BH250" s="74"/>
      <c r="BI250" s="117"/>
      <c r="BJ250" s="117"/>
      <c r="BK250" s="117"/>
      <c r="BL250" s="117"/>
      <c r="BM250" s="117"/>
      <c r="BN250" s="117"/>
      <c r="BO250" s="117"/>
      <c r="BP250" s="117"/>
      <c r="BQ250" s="117"/>
      <c r="BR250" s="117"/>
      <c r="BS250" s="117"/>
      <c r="BT250" s="117"/>
      <c r="BU250" s="117"/>
      <c r="BV250" s="117"/>
      <c r="BW250" s="117"/>
      <c r="BX250" s="102"/>
      <c r="BY250" s="102"/>
      <c r="CD250" s="102"/>
      <c r="CE250" s="102"/>
      <c r="CG250" s="86"/>
      <c r="CH250" s="86"/>
      <c r="CI250" s="86"/>
      <c r="CJ250" s="86"/>
      <c r="CL250" s="63"/>
      <c r="CM250" s="54"/>
      <c r="CN250" s="54"/>
      <c r="CO250" s="54"/>
      <c r="CP250" s="54"/>
      <c r="CQ250" s="86"/>
      <c r="CR250" s="63"/>
      <c r="CS250" s="63"/>
      <c r="CT250" s="63"/>
      <c r="CU250" s="63"/>
      <c r="CV250" s="86"/>
      <c r="CW250" s="86"/>
      <c r="CX250" s="86"/>
      <c r="DF250" s="54"/>
      <c r="DG250" s="54"/>
      <c r="DH250" s="63"/>
      <c r="DI250" s="63"/>
      <c r="DJ250" s="63"/>
      <c r="DK250" s="63"/>
      <c r="DL250" s="63"/>
      <c r="DN250" s="86"/>
      <c r="DO250" s="86"/>
      <c r="DP250" s="86"/>
      <c r="DR250" s="63"/>
      <c r="DW250" s="54"/>
      <c r="DX250" s="54"/>
      <c r="DY250" s="63"/>
      <c r="DZ250" s="63"/>
      <c r="EA250" s="63"/>
      <c r="EB250" s="63"/>
      <c r="EC250" s="63"/>
      <c r="EE250" s="86"/>
      <c r="EF250" s="86"/>
      <c r="EG250" s="86"/>
      <c r="EI250" s="63"/>
      <c r="EN250" s="54"/>
      <c r="EQ250" s="86"/>
      <c r="ER250" s="86"/>
      <c r="EX250" s="54"/>
      <c r="FG250" s="86"/>
      <c r="FL250" s="45"/>
      <c r="FT250" s="63"/>
      <c r="FU250" s="54"/>
      <c r="FV250" s="54"/>
      <c r="FW250" s="54"/>
      <c r="FX250" s="86"/>
      <c r="FY250" s="86"/>
      <c r="FZ250" s="86"/>
      <c r="GA250" s="86"/>
      <c r="GB250" s="86"/>
      <c r="GD250" s="63"/>
      <c r="GE250" s="63"/>
      <c r="GF250" s="63"/>
      <c r="GG250" s="63"/>
      <c r="GH250" s="45"/>
      <c r="GI250" s="54"/>
      <c r="GJ250" s="54"/>
      <c r="GL250" s="86"/>
      <c r="GM250" s="86"/>
      <c r="GR250" s="86"/>
      <c r="GS250" s="86"/>
      <c r="GU250" s="63"/>
      <c r="GV250" s="63"/>
      <c r="GW250" s="63"/>
      <c r="GX250" s="63"/>
      <c r="GZ250" s="63"/>
      <c r="HA250" s="54"/>
      <c r="HD250" s="86"/>
      <c r="HI250" s="86"/>
      <c r="HJ250" s="86"/>
      <c r="HQ250" s="63"/>
      <c r="HR250" s="54"/>
      <c r="HU250" s="86"/>
      <c r="HZ250" s="86"/>
      <c r="IA250" s="86"/>
      <c r="IF250" s="54"/>
      <c r="IK250" s="86"/>
    </row>
    <row r="251" spans="1:245">
      <c r="A251" s="86">
        <v>221</v>
      </c>
      <c r="B251" s="117"/>
      <c r="C251" s="117"/>
      <c r="D251" s="117"/>
      <c r="E251" s="117"/>
      <c r="K251" s="117"/>
      <c r="L251" s="117"/>
      <c r="M251" s="117"/>
      <c r="N251" s="117"/>
      <c r="O251" s="117"/>
      <c r="P251" s="117"/>
      <c r="Q251" s="117"/>
      <c r="R251" s="117"/>
      <c r="S251" s="117"/>
      <c r="T251" s="117"/>
      <c r="U251" s="74"/>
      <c r="V251" s="74"/>
      <c r="W251" s="74"/>
      <c r="X251" s="74"/>
      <c r="Y251" s="74"/>
      <c r="Z251" s="74"/>
      <c r="AA251" s="74"/>
      <c r="AB251" s="74"/>
      <c r="AC251" s="117"/>
      <c r="AD251" s="117"/>
      <c r="AE251" s="117"/>
      <c r="AF251" s="117"/>
      <c r="AG251" s="117"/>
      <c r="AH251" s="117"/>
      <c r="AI251" s="117"/>
      <c r="AJ251" s="117"/>
      <c r="AK251" s="117"/>
      <c r="AL251" s="117"/>
      <c r="AM251" s="117"/>
      <c r="AN251" s="117"/>
      <c r="AO251" s="117"/>
      <c r="AP251" s="117"/>
      <c r="AQ251" s="117"/>
      <c r="AR251" s="300"/>
      <c r="AS251" s="300"/>
      <c r="AT251" s="86"/>
      <c r="AU251" s="162"/>
      <c r="AV251" s="162"/>
      <c r="AW251" s="162"/>
      <c r="AX251" s="162"/>
      <c r="AY251" s="162"/>
      <c r="BB251" s="45"/>
      <c r="BC251" s="45"/>
      <c r="BD251" s="117"/>
      <c r="BE251" s="117"/>
      <c r="BF251" s="99"/>
      <c r="BG251" s="99"/>
      <c r="BH251" s="74"/>
      <c r="BI251" s="117"/>
      <c r="BJ251" s="117"/>
      <c r="BK251" s="117"/>
      <c r="BL251" s="117"/>
      <c r="BM251" s="117"/>
      <c r="BN251" s="117"/>
      <c r="BO251" s="117"/>
      <c r="BP251" s="117"/>
      <c r="BQ251" s="117"/>
      <c r="BR251" s="117"/>
      <c r="BS251" s="117"/>
      <c r="BT251" s="117"/>
      <c r="BU251" s="117"/>
      <c r="BV251" s="117"/>
      <c r="BW251" s="117"/>
      <c r="BX251" s="102"/>
      <c r="BY251" s="102"/>
      <c r="CD251" s="102"/>
      <c r="CE251" s="102"/>
      <c r="CG251" s="86"/>
      <c r="CH251" s="86"/>
      <c r="CI251" s="86"/>
      <c r="CJ251" s="86"/>
      <c r="CL251" s="63"/>
      <c r="CM251" s="54"/>
      <c r="CN251" s="54"/>
      <c r="CO251" s="54"/>
      <c r="CP251" s="54"/>
      <c r="CQ251" s="86"/>
      <c r="CR251" s="63"/>
      <c r="CS251" s="63"/>
      <c r="CT251" s="63"/>
      <c r="CU251" s="63"/>
      <c r="CV251" s="86"/>
      <c r="CW251" s="86"/>
      <c r="CX251" s="86"/>
      <c r="DF251" s="54"/>
      <c r="DG251" s="54"/>
      <c r="DH251" s="63"/>
      <c r="DI251" s="63"/>
      <c r="DJ251" s="63"/>
      <c r="DK251" s="63"/>
      <c r="DL251" s="63"/>
      <c r="DN251" s="86"/>
      <c r="DO251" s="86"/>
      <c r="DP251" s="86"/>
      <c r="DR251" s="63"/>
      <c r="DW251" s="54"/>
      <c r="DX251" s="54"/>
      <c r="DY251" s="63"/>
      <c r="DZ251" s="63"/>
      <c r="EA251" s="63"/>
      <c r="EB251" s="63"/>
      <c r="EC251" s="63"/>
      <c r="EE251" s="86"/>
      <c r="EF251" s="86"/>
      <c r="EG251" s="86"/>
      <c r="EI251" s="63"/>
      <c r="EN251" s="54"/>
      <c r="EQ251" s="86"/>
      <c r="ER251" s="86"/>
      <c r="EX251" s="54"/>
      <c r="FG251" s="86"/>
      <c r="FL251" s="45"/>
      <c r="FT251" s="63"/>
      <c r="FU251" s="54"/>
      <c r="FV251" s="54"/>
      <c r="FW251" s="54"/>
      <c r="FX251" s="86"/>
      <c r="FY251" s="86"/>
      <c r="FZ251" s="86"/>
      <c r="GA251" s="86"/>
      <c r="GB251" s="86"/>
      <c r="GD251" s="63"/>
      <c r="GE251" s="63"/>
      <c r="GF251" s="63"/>
      <c r="GG251" s="63"/>
      <c r="GH251" s="45"/>
      <c r="GI251" s="54"/>
      <c r="GJ251" s="54"/>
      <c r="GL251" s="86"/>
      <c r="GM251" s="86"/>
      <c r="GR251" s="86"/>
      <c r="GS251" s="86"/>
      <c r="GU251" s="63"/>
      <c r="GV251" s="63"/>
      <c r="GW251" s="63"/>
      <c r="GX251" s="63"/>
      <c r="GZ251" s="63"/>
      <c r="HA251" s="54"/>
      <c r="HD251" s="86"/>
      <c r="HI251" s="86"/>
      <c r="HJ251" s="86"/>
      <c r="HQ251" s="63"/>
      <c r="HR251" s="54"/>
      <c r="HU251" s="86"/>
      <c r="HZ251" s="86"/>
      <c r="IA251" s="86"/>
      <c r="IF251" s="54"/>
      <c r="IK251" s="86"/>
    </row>
    <row r="252" spans="1:245">
      <c r="A252" s="86">
        <v>222</v>
      </c>
      <c r="B252" s="117"/>
      <c r="C252" s="117"/>
      <c r="D252" s="117"/>
      <c r="E252" s="117"/>
      <c r="K252" s="117"/>
      <c r="L252" s="117"/>
      <c r="M252" s="117"/>
      <c r="N252" s="117"/>
      <c r="O252" s="117"/>
      <c r="P252" s="117"/>
      <c r="Q252" s="117"/>
      <c r="R252" s="117"/>
      <c r="S252" s="117"/>
      <c r="T252" s="117"/>
      <c r="U252" s="74"/>
      <c r="V252" s="74"/>
      <c r="W252" s="74"/>
      <c r="X252" s="74"/>
      <c r="Y252" s="74"/>
      <c r="Z252" s="74"/>
      <c r="AA252" s="74"/>
      <c r="AB252" s="74"/>
      <c r="AC252" s="117"/>
      <c r="AD252" s="117"/>
      <c r="AE252" s="117"/>
      <c r="AF252" s="117"/>
      <c r="AG252" s="117"/>
      <c r="AH252" s="117"/>
      <c r="AI252" s="117"/>
      <c r="AJ252" s="117"/>
      <c r="AK252" s="117"/>
      <c r="AL252" s="117"/>
      <c r="AM252" s="117"/>
      <c r="AN252" s="117"/>
      <c r="AO252" s="117"/>
      <c r="AP252" s="117"/>
      <c r="AQ252" s="117"/>
      <c r="AR252" s="300"/>
      <c r="AS252" s="300"/>
      <c r="AT252" s="86"/>
      <c r="AU252" s="162"/>
      <c r="AV252" s="162"/>
      <c r="AW252" s="162"/>
      <c r="AX252" s="162"/>
      <c r="AY252" s="162"/>
      <c r="BB252" s="45"/>
      <c r="BC252" s="45"/>
      <c r="BD252" s="117"/>
      <c r="BE252" s="117"/>
      <c r="BF252" s="99"/>
      <c r="BG252" s="99"/>
      <c r="BH252" s="74"/>
      <c r="BI252" s="117"/>
      <c r="BJ252" s="117"/>
      <c r="BK252" s="117"/>
      <c r="BL252" s="117"/>
      <c r="BM252" s="117"/>
      <c r="BN252" s="117"/>
      <c r="BO252" s="117"/>
      <c r="BP252" s="117"/>
      <c r="BQ252" s="117"/>
      <c r="BR252" s="117"/>
      <c r="BS252" s="117"/>
      <c r="BT252" s="117"/>
      <c r="BU252" s="117"/>
      <c r="BV252" s="117"/>
      <c r="BW252" s="117"/>
      <c r="BX252" s="102"/>
      <c r="BY252" s="102"/>
      <c r="CD252" s="102"/>
      <c r="CE252" s="102"/>
      <c r="CG252" s="86"/>
      <c r="CH252" s="86"/>
      <c r="CI252" s="86"/>
      <c r="CJ252" s="86"/>
      <c r="CL252" s="63"/>
      <c r="CM252" s="54"/>
      <c r="CN252" s="54"/>
      <c r="CO252" s="54"/>
      <c r="CP252" s="54"/>
      <c r="CQ252" s="86"/>
      <c r="CR252" s="63"/>
      <c r="CS252" s="63"/>
      <c r="CT252" s="63"/>
      <c r="CU252" s="63"/>
      <c r="CV252" s="86"/>
      <c r="CW252" s="86"/>
      <c r="CX252" s="86"/>
      <c r="DF252" s="54"/>
      <c r="DG252" s="54"/>
      <c r="DH252" s="63"/>
      <c r="DI252" s="63"/>
      <c r="DJ252" s="63"/>
      <c r="DK252" s="63"/>
      <c r="DL252" s="63"/>
      <c r="DN252" s="86"/>
      <c r="DO252" s="86"/>
      <c r="DP252" s="86"/>
      <c r="DR252" s="63"/>
      <c r="DW252" s="54"/>
      <c r="DX252" s="54"/>
      <c r="DY252" s="63"/>
      <c r="DZ252" s="63"/>
      <c r="EA252" s="63"/>
      <c r="EB252" s="63"/>
      <c r="EC252" s="63"/>
      <c r="EE252" s="86"/>
      <c r="EF252" s="86"/>
      <c r="EG252" s="86"/>
      <c r="EI252" s="63"/>
      <c r="EN252" s="54"/>
      <c r="EQ252" s="86"/>
      <c r="ER252" s="86"/>
      <c r="EX252" s="54"/>
      <c r="FG252" s="86"/>
      <c r="FL252" s="45"/>
      <c r="FT252" s="63"/>
      <c r="FU252" s="54"/>
      <c r="FV252" s="54"/>
      <c r="FW252" s="54"/>
      <c r="FX252" s="86"/>
      <c r="FY252" s="86"/>
      <c r="FZ252" s="86"/>
      <c r="GA252" s="86"/>
      <c r="GB252" s="86"/>
      <c r="GD252" s="63"/>
      <c r="GE252" s="63"/>
      <c r="GF252" s="63"/>
      <c r="GG252" s="63"/>
      <c r="GH252" s="45"/>
      <c r="GI252" s="54"/>
      <c r="GJ252" s="54"/>
      <c r="GL252" s="86"/>
      <c r="GM252" s="86"/>
      <c r="GR252" s="86"/>
      <c r="GS252" s="86"/>
      <c r="GU252" s="63"/>
      <c r="GV252" s="63"/>
      <c r="GW252" s="63"/>
      <c r="GX252" s="63"/>
      <c r="GZ252" s="63"/>
      <c r="HA252" s="54"/>
      <c r="HD252" s="86"/>
      <c r="HI252" s="86"/>
      <c r="HJ252" s="86"/>
      <c r="HQ252" s="63"/>
      <c r="HR252" s="54"/>
      <c r="HU252" s="86"/>
      <c r="HZ252" s="86"/>
      <c r="IA252" s="86"/>
      <c r="IF252" s="54"/>
      <c r="IK252" s="86"/>
    </row>
    <row r="253" spans="1:245">
      <c r="A253" s="86">
        <v>223</v>
      </c>
      <c r="B253" s="117"/>
      <c r="C253" s="117"/>
      <c r="D253" s="117"/>
      <c r="E253" s="117"/>
      <c r="K253" s="117"/>
      <c r="L253" s="117"/>
      <c r="M253" s="117"/>
      <c r="N253" s="117"/>
      <c r="O253" s="117"/>
      <c r="P253" s="117"/>
      <c r="Q253" s="117"/>
      <c r="R253" s="117"/>
      <c r="S253" s="117"/>
      <c r="T253" s="117"/>
      <c r="U253" s="74"/>
      <c r="V253" s="74"/>
      <c r="W253" s="74"/>
      <c r="X253" s="74"/>
      <c r="Y253" s="74"/>
      <c r="Z253" s="74"/>
      <c r="AA253" s="74"/>
      <c r="AB253" s="74"/>
      <c r="AC253" s="117"/>
      <c r="AD253" s="117"/>
      <c r="AE253" s="117"/>
      <c r="AF253" s="117"/>
      <c r="AG253" s="117"/>
      <c r="AH253" s="117"/>
      <c r="AI253" s="117"/>
      <c r="AJ253" s="117"/>
      <c r="AK253" s="117"/>
      <c r="AL253" s="117"/>
      <c r="AM253" s="117"/>
      <c r="AN253" s="117"/>
      <c r="AO253" s="117"/>
      <c r="AP253" s="117"/>
      <c r="AQ253" s="117"/>
      <c r="AR253" s="300"/>
      <c r="AS253" s="300"/>
      <c r="AT253" s="86"/>
      <c r="AU253" s="162"/>
      <c r="AV253" s="162"/>
      <c r="AW253" s="162"/>
      <c r="AX253" s="162"/>
      <c r="AY253" s="162"/>
      <c r="BB253" s="45"/>
      <c r="BC253" s="45"/>
      <c r="BD253" s="117"/>
      <c r="BE253" s="117"/>
      <c r="BF253" s="99"/>
      <c r="BG253" s="99"/>
      <c r="BH253" s="74"/>
      <c r="BI253" s="117"/>
      <c r="BJ253" s="117"/>
      <c r="BK253" s="117"/>
      <c r="BL253" s="117"/>
      <c r="BM253" s="117"/>
      <c r="BN253" s="117"/>
      <c r="BO253" s="117"/>
      <c r="BP253" s="117"/>
      <c r="BQ253" s="117"/>
      <c r="BR253" s="117"/>
      <c r="BS253" s="117"/>
      <c r="BT253" s="117"/>
      <c r="BU253" s="117"/>
      <c r="BV253" s="117"/>
      <c r="BW253" s="117"/>
      <c r="BX253" s="102"/>
      <c r="BY253" s="102"/>
      <c r="CD253" s="102"/>
      <c r="CE253" s="102"/>
      <c r="CG253" s="86"/>
      <c r="CH253" s="86"/>
      <c r="CI253" s="86"/>
      <c r="CJ253" s="86"/>
      <c r="CL253" s="63"/>
      <c r="CM253" s="54"/>
      <c r="CN253" s="54"/>
      <c r="CO253" s="54"/>
      <c r="CP253" s="54"/>
      <c r="CQ253" s="86"/>
      <c r="CR253" s="63"/>
      <c r="CS253" s="63"/>
      <c r="CT253" s="63"/>
      <c r="CU253" s="63"/>
      <c r="CV253" s="86"/>
      <c r="CW253" s="86"/>
      <c r="CX253" s="86"/>
      <c r="DF253" s="54"/>
      <c r="DG253" s="54"/>
      <c r="DH253" s="63"/>
      <c r="DI253" s="63"/>
      <c r="DJ253" s="63"/>
      <c r="DK253" s="63"/>
      <c r="DL253" s="63"/>
      <c r="DN253" s="86"/>
      <c r="DO253" s="86"/>
      <c r="DP253" s="86"/>
      <c r="DR253" s="63"/>
      <c r="DW253" s="54"/>
      <c r="DX253" s="54"/>
      <c r="DY253" s="63"/>
      <c r="DZ253" s="63"/>
      <c r="EA253" s="63"/>
      <c r="EB253" s="63"/>
      <c r="EC253" s="63"/>
      <c r="EE253" s="86"/>
      <c r="EF253" s="86"/>
      <c r="EG253" s="86"/>
      <c r="EI253" s="63"/>
      <c r="EN253" s="54"/>
      <c r="EQ253" s="86"/>
      <c r="ER253" s="86"/>
      <c r="EX253" s="54"/>
      <c r="FG253" s="86"/>
      <c r="FL253" s="45"/>
      <c r="FT253" s="63"/>
      <c r="FU253" s="54"/>
      <c r="FV253" s="54"/>
      <c r="FW253" s="54"/>
      <c r="FX253" s="86"/>
      <c r="FY253" s="86"/>
      <c r="FZ253" s="86"/>
      <c r="GA253" s="86"/>
      <c r="GB253" s="86"/>
      <c r="GD253" s="63"/>
      <c r="GE253" s="63"/>
      <c r="GF253" s="63"/>
      <c r="GG253" s="63"/>
      <c r="GH253" s="45"/>
      <c r="GI253" s="54"/>
      <c r="GJ253" s="54"/>
      <c r="GL253" s="86"/>
      <c r="GM253" s="86"/>
      <c r="GR253" s="86"/>
      <c r="GS253" s="86"/>
      <c r="GU253" s="63"/>
      <c r="GV253" s="63"/>
      <c r="GW253" s="63"/>
      <c r="GX253" s="63"/>
      <c r="GZ253" s="63"/>
      <c r="HA253" s="54"/>
      <c r="HD253" s="86"/>
      <c r="HI253" s="86"/>
      <c r="HJ253" s="86"/>
      <c r="HQ253" s="63"/>
      <c r="HR253" s="54"/>
      <c r="HU253" s="86"/>
      <c r="HZ253" s="86"/>
      <c r="IA253" s="86"/>
      <c r="IF253" s="54"/>
      <c r="IK253" s="86"/>
    </row>
    <row r="254" spans="1:245">
      <c r="A254" s="86">
        <v>224</v>
      </c>
      <c r="B254" s="117"/>
      <c r="C254" s="117"/>
      <c r="D254" s="117"/>
      <c r="E254" s="117"/>
      <c r="K254" s="117"/>
      <c r="L254" s="117"/>
      <c r="M254" s="117"/>
      <c r="N254" s="117"/>
      <c r="O254" s="117"/>
      <c r="P254" s="117"/>
      <c r="Q254" s="117"/>
      <c r="R254" s="117"/>
      <c r="S254" s="117"/>
      <c r="T254" s="117"/>
      <c r="U254" s="74"/>
      <c r="V254" s="74"/>
      <c r="W254" s="74"/>
      <c r="X254" s="74"/>
      <c r="Y254" s="74"/>
      <c r="Z254" s="74"/>
      <c r="AA254" s="74"/>
      <c r="AB254" s="74"/>
      <c r="AC254" s="117"/>
      <c r="AD254" s="117"/>
      <c r="AE254" s="117"/>
      <c r="AF254" s="117"/>
      <c r="AG254" s="117"/>
      <c r="AH254" s="117"/>
      <c r="AI254" s="117"/>
      <c r="AJ254" s="117"/>
      <c r="AK254" s="117"/>
      <c r="AL254" s="117"/>
      <c r="AM254" s="117"/>
      <c r="AN254" s="117"/>
      <c r="AO254" s="117"/>
      <c r="AP254" s="117"/>
      <c r="AQ254" s="117"/>
      <c r="AR254" s="300"/>
      <c r="AS254" s="300"/>
      <c r="AT254" s="86"/>
      <c r="AU254" s="162"/>
      <c r="AV254" s="162"/>
      <c r="AW254" s="162"/>
      <c r="AX254" s="162"/>
      <c r="AY254" s="162"/>
      <c r="BB254" s="45"/>
      <c r="BC254" s="45"/>
      <c r="BD254" s="117"/>
      <c r="BE254" s="117"/>
      <c r="BF254" s="99"/>
      <c r="BG254" s="99"/>
      <c r="BH254" s="74"/>
      <c r="BI254" s="117"/>
      <c r="BJ254" s="117"/>
      <c r="BK254" s="117"/>
      <c r="BL254" s="117"/>
      <c r="BM254" s="117"/>
      <c r="BN254" s="117"/>
      <c r="BO254" s="117"/>
      <c r="BP254" s="117"/>
      <c r="BQ254" s="117"/>
      <c r="BR254" s="117"/>
      <c r="BS254" s="117"/>
      <c r="BT254" s="117"/>
      <c r="BU254" s="117"/>
      <c r="BV254" s="117"/>
      <c r="BW254" s="117"/>
      <c r="BX254" s="102"/>
      <c r="BY254" s="102"/>
      <c r="CD254" s="102"/>
      <c r="CE254" s="102"/>
      <c r="CG254" s="86"/>
      <c r="CH254" s="86"/>
      <c r="CI254" s="86"/>
      <c r="CJ254" s="86"/>
      <c r="CL254" s="63"/>
      <c r="CM254" s="54"/>
      <c r="CN254" s="54"/>
      <c r="CO254" s="54"/>
      <c r="CP254" s="54"/>
      <c r="CQ254" s="86"/>
      <c r="CR254" s="63"/>
      <c r="CS254" s="63"/>
      <c r="CT254" s="63"/>
      <c r="CU254" s="63"/>
      <c r="CV254" s="86"/>
      <c r="CW254" s="86"/>
      <c r="CX254" s="86"/>
      <c r="DF254" s="54"/>
      <c r="DG254" s="54"/>
      <c r="DH254" s="63"/>
      <c r="DI254" s="63"/>
      <c r="DJ254" s="63"/>
      <c r="DK254" s="63"/>
      <c r="DL254" s="63"/>
      <c r="DN254" s="86"/>
      <c r="DO254" s="86"/>
      <c r="DP254" s="86"/>
      <c r="DR254" s="63"/>
      <c r="DW254" s="54"/>
      <c r="DX254" s="54"/>
      <c r="DY254" s="63"/>
      <c r="DZ254" s="63"/>
      <c r="EA254" s="63"/>
      <c r="EB254" s="63"/>
      <c r="EC254" s="63"/>
      <c r="EE254" s="86"/>
      <c r="EF254" s="86"/>
      <c r="EG254" s="86"/>
      <c r="EI254" s="63"/>
      <c r="EN254" s="54"/>
      <c r="EQ254" s="86"/>
      <c r="ER254" s="86"/>
      <c r="EX254" s="54"/>
      <c r="FG254" s="86"/>
      <c r="FL254" s="45"/>
      <c r="FT254" s="63"/>
      <c r="FU254" s="54"/>
      <c r="FV254" s="54"/>
      <c r="FW254" s="54"/>
      <c r="FX254" s="86"/>
      <c r="FY254" s="86"/>
      <c r="FZ254" s="86"/>
      <c r="GA254" s="86"/>
      <c r="GB254" s="86"/>
      <c r="GD254" s="63"/>
      <c r="GE254" s="63"/>
      <c r="GF254" s="63"/>
      <c r="GG254" s="63"/>
      <c r="GH254" s="45"/>
      <c r="GI254" s="54"/>
      <c r="GJ254" s="54"/>
      <c r="GL254" s="86"/>
      <c r="GM254" s="86"/>
      <c r="GR254" s="86"/>
      <c r="GS254" s="86"/>
      <c r="GU254" s="63"/>
      <c r="GV254" s="63"/>
      <c r="GW254" s="63"/>
      <c r="GX254" s="63"/>
      <c r="GZ254" s="63"/>
      <c r="HA254" s="54"/>
      <c r="HD254" s="86"/>
      <c r="HI254" s="86"/>
      <c r="HJ254" s="86"/>
      <c r="HQ254" s="63"/>
      <c r="HR254" s="54"/>
      <c r="HU254" s="86"/>
      <c r="HZ254" s="86"/>
      <c r="IA254" s="86"/>
      <c r="IF254" s="54"/>
      <c r="IK254" s="86"/>
    </row>
    <row r="255" spans="1:245">
      <c r="A255" s="86">
        <v>225</v>
      </c>
      <c r="B255" s="117"/>
      <c r="C255" s="117"/>
      <c r="D255" s="117"/>
      <c r="E255" s="117"/>
      <c r="K255" s="117"/>
      <c r="L255" s="117"/>
      <c r="M255" s="117"/>
      <c r="N255" s="117"/>
      <c r="O255" s="117"/>
      <c r="P255" s="117"/>
      <c r="Q255" s="117"/>
      <c r="R255" s="117"/>
      <c r="S255" s="117"/>
      <c r="T255" s="117"/>
      <c r="U255" s="74"/>
      <c r="V255" s="74"/>
      <c r="W255" s="74"/>
      <c r="X255" s="74"/>
      <c r="Y255" s="74"/>
      <c r="Z255" s="74"/>
      <c r="AA255" s="74"/>
      <c r="AB255" s="74"/>
      <c r="AC255" s="117"/>
      <c r="AD255" s="117"/>
      <c r="AE255" s="117"/>
      <c r="AF255" s="117"/>
      <c r="AG255" s="117"/>
      <c r="AH255" s="117"/>
      <c r="AI255" s="117"/>
      <c r="AJ255" s="117"/>
      <c r="AK255" s="117"/>
      <c r="AL255" s="117"/>
      <c r="AM255" s="117"/>
      <c r="AN255" s="117"/>
      <c r="AO255" s="117"/>
      <c r="AP255" s="117"/>
      <c r="AQ255" s="117"/>
      <c r="AR255" s="300"/>
      <c r="AS255" s="300"/>
      <c r="AT255" s="86"/>
      <c r="AU255" s="162"/>
      <c r="AV255" s="162"/>
      <c r="AW255" s="162"/>
      <c r="AX255" s="162"/>
      <c r="AY255" s="162"/>
      <c r="BB255" s="45"/>
      <c r="BC255" s="45"/>
      <c r="BD255" s="117"/>
      <c r="BE255" s="117"/>
      <c r="BF255" s="99"/>
      <c r="BG255" s="99"/>
      <c r="BH255" s="74"/>
      <c r="BI255" s="117"/>
      <c r="BJ255" s="117"/>
      <c r="BK255" s="117"/>
      <c r="BL255" s="117"/>
      <c r="BM255" s="117"/>
      <c r="BN255" s="117"/>
      <c r="BO255" s="117"/>
      <c r="BP255" s="117"/>
      <c r="BQ255" s="117"/>
      <c r="BR255" s="117"/>
      <c r="BS255" s="117"/>
      <c r="BT255" s="117"/>
      <c r="BU255" s="117"/>
      <c r="BV255" s="117"/>
      <c r="BW255" s="117"/>
      <c r="BX255" s="102"/>
      <c r="BY255" s="102"/>
      <c r="CD255" s="102"/>
      <c r="CE255" s="102"/>
      <c r="CG255" s="86"/>
      <c r="CH255" s="86"/>
      <c r="CI255" s="86"/>
      <c r="CJ255" s="86"/>
      <c r="CL255" s="63"/>
      <c r="CM255" s="54"/>
      <c r="CN255" s="54"/>
      <c r="CO255" s="54"/>
      <c r="CP255" s="54"/>
      <c r="CQ255" s="86"/>
      <c r="CR255" s="63"/>
      <c r="CS255" s="63"/>
      <c r="CT255" s="63"/>
      <c r="CU255" s="63"/>
      <c r="CV255" s="86"/>
      <c r="CW255" s="86"/>
      <c r="CX255" s="86"/>
      <c r="DF255" s="54"/>
      <c r="DG255" s="54"/>
      <c r="DH255" s="63"/>
      <c r="DI255" s="63"/>
      <c r="DJ255" s="63"/>
      <c r="DK255" s="63"/>
      <c r="DL255" s="63"/>
      <c r="DN255" s="86"/>
      <c r="DO255" s="86"/>
      <c r="DP255" s="86"/>
      <c r="DR255" s="63"/>
      <c r="DW255" s="54"/>
      <c r="DX255" s="54"/>
      <c r="DY255" s="63"/>
      <c r="DZ255" s="63"/>
      <c r="EA255" s="63"/>
      <c r="EB255" s="63"/>
      <c r="EC255" s="63"/>
      <c r="EE255" s="86"/>
      <c r="EF255" s="86"/>
      <c r="EG255" s="86"/>
      <c r="EI255" s="63"/>
      <c r="EN255" s="54"/>
      <c r="EQ255" s="86"/>
      <c r="ER255" s="86"/>
      <c r="EX255" s="54"/>
      <c r="FG255" s="86"/>
      <c r="FL255" s="45"/>
      <c r="FT255" s="63"/>
      <c r="FU255" s="54"/>
      <c r="FV255" s="54"/>
      <c r="FW255" s="54"/>
      <c r="FX255" s="86"/>
      <c r="FY255" s="86"/>
      <c r="FZ255" s="86"/>
      <c r="GA255" s="86"/>
      <c r="GB255" s="86"/>
      <c r="GD255" s="63"/>
      <c r="GE255" s="63"/>
      <c r="GF255" s="63"/>
      <c r="GG255" s="63"/>
      <c r="GH255" s="45"/>
      <c r="GI255" s="54"/>
      <c r="GJ255" s="54"/>
      <c r="GL255" s="86"/>
      <c r="GM255" s="86"/>
      <c r="GR255" s="86"/>
      <c r="GS255" s="86"/>
      <c r="GU255" s="63"/>
      <c r="GV255" s="63"/>
      <c r="GW255" s="63"/>
      <c r="GX255" s="63"/>
      <c r="GZ255" s="63"/>
      <c r="HA255" s="54"/>
      <c r="HD255" s="86"/>
      <c r="HI255" s="86"/>
      <c r="HJ255" s="86"/>
      <c r="HQ255" s="63"/>
      <c r="HR255" s="54"/>
      <c r="HU255" s="86"/>
      <c r="HZ255" s="86"/>
      <c r="IA255" s="86"/>
      <c r="IF255" s="54"/>
      <c r="IK255" s="86"/>
    </row>
    <row r="256" spans="1:245">
      <c r="A256" s="86">
        <v>226</v>
      </c>
      <c r="B256" s="117"/>
      <c r="C256" s="117"/>
      <c r="D256" s="117"/>
      <c r="E256" s="117"/>
      <c r="K256" s="117"/>
      <c r="L256" s="117"/>
      <c r="M256" s="117"/>
      <c r="N256" s="117"/>
      <c r="O256" s="117"/>
      <c r="P256" s="117"/>
      <c r="Q256" s="117"/>
      <c r="R256" s="117"/>
      <c r="S256" s="117"/>
      <c r="T256" s="117"/>
      <c r="U256" s="74"/>
      <c r="V256" s="74"/>
      <c r="W256" s="74"/>
      <c r="X256" s="74"/>
      <c r="Y256" s="74"/>
      <c r="Z256" s="74"/>
      <c r="AA256" s="74"/>
      <c r="AB256" s="74"/>
      <c r="AC256" s="117"/>
      <c r="AD256" s="117"/>
      <c r="AE256" s="117"/>
      <c r="AF256" s="117"/>
      <c r="AG256" s="117"/>
      <c r="AH256" s="117"/>
      <c r="AI256" s="117"/>
      <c r="AJ256" s="117"/>
      <c r="AK256" s="117"/>
      <c r="AL256" s="117"/>
      <c r="AM256" s="117"/>
      <c r="AN256" s="117"/>
      <c r="AO256" s="117"/>
      <c r="AP256" s="117"/>
      <c r="AQ256" s="117"/>
      <c r="AR256" s="300"/>
      <c r="AS256" s="300"/>
      <c r="AT256" s="86"/>
      <c r="AU256" s="162"/>
      <c r="AV256" s="162"/>
      <c r="AW256" s="162"/>
      <c r="AX256" s="162"/>
      <c r="AY256" s="162"/>
      <c r="BB256" s="45"/>
      <c r="BC256" s="45"/>
      <c r="BD256" s="117"/>
      <c r="BE256" s="117"/>
      <c r="BF256" s="99"/>
      <c r="BG256" s="99"/>
      <c r="BH256" s="74"/>
      <c r="BI256" s="117"/>
      <c r="BJ256" s="117"/>
      <c r="BK256" s="117"/>
      <c r="BL256" s="117"/>
      <c r="BM256" s="117"/>
      <c r="BN256" s="117"/>
      <c r="BO256" s="117"/>
      <c r="BP256" s="117"/>
      <c r="BQ256" s="117"/>
      <c r="BR256" s="117"/>
      <c r="BS256" s="117"/>
      <c r="BT256" s="117"/>
      <c r="BU256" s="117"/>
      <c r="BV256" s="117"/>
      <c r="BW256" s="117"/>
      <c r="BX256" s="102"/>
      <c r="BY256" s="102"/>
      <c r="CD256" s="102"/>
      <c r="CE256" s="102"/>
      <c r="CG256" s="86"/>
      <c r="CH256" s="86"/>
      <c r="CI256" s="86"/>
      <c r="CJ256" s="86"/>
      <c r="CL256" s="63"/>
      <c r="CM256" s="54"/>
      <c r="CN256" s="54"/>
      <c r="CO256" s="54"/>
      <c r="CP256" s="54"/>
      <c r="CQ256" s="86"/>
      <c r="CR256" s="63"/>
      <c r="CS256" s="63"/>
      <c r="CT256" s="63"/>
      <c r="CU256" s="63"/>
      <c r="CV256" s="86"/>
      <c r="CW256" s="86"/>
      <c r="CX256" s="86"/>
      <c r="DF256" s="54"/>
      <c r="DG256" s="54"/>
      <c r="DH256" s="63"/>
      <c r="DI256" s="63"/>
      <c r="DJ256" s="63"/>
      <c r="DK256" s="63"/>
      <c r="DL256" s="63"/>
      <c r="DN256" s="86"/>
      <c r="DO256" s="86"/>
      <c r="DP256" s="86"/>
      <c r="DR256" s="63"/>
      <c r="DW256" s="54"/>
      <c r="DX256" s="54"/>
      <c r="DY256" s="63"/>
      <c r="DZ256" s="63"/>
      <c r="EA256" s="63"/>
      <c r="EB256" s="63"/>
      <c r="EC256" s="63"/>
      <c r="EE256" s="86"/>
      <c r="EF256" s="86"/>
      <c r="EG256" s="86"/>
      <c r="EI256" s="63"/>
      <c r="EN256" s="54"/>
      <c r="EQ256" s="86"/>
      <c r="ER256" s="86"/>
      <c r="EX256" s="54"/>
      <c r="FG256" s="86"/>
      <c r="FL256" s="45"/>
      <c r="FT256" s="63"/>
      <c r="FU256" s="54"/>
      <c r="FV256" s="54"/>
      <c r="FW256" s="54"/>
      <c r="FX256" s="86"/>
      <c r="FY256" s="86"/>
      <c r="FZ256" s="86"/>
      <c r="GA256" s="86"/>
      <c r="GB256" s="86"/>
      <c r="GD256" s="63"/>
      <c r="GE256" s="63"/>
      <c r="GF256" s="63"/>
      <c r="GG256" s="63"/>
      <c r="GH256" s="45"/>
      <c r="GI256" s="54"/>
      <c r="GJ256" s="54"/>
      <c r="GL256" s="86"/>
      <c r="GM256" s="86"/>
      <c r="GR256" s="86"/>
      <c r="GS256" s="86"/>
      <c r="GU256" s="63"/>
      <c r="GV256" s="63"/>
      <c r="GW256" s="63"/>
      <c r="GX256" s="63"/>
      <c r="GZ256" s="63"/>
      <c r="HA256" s="54"/>
      <c r="HD256" s="86"/>
      <c r="HI256" s="86"/>
      <c r="HJ256" s="86"/>
      <c r="HQ256" s="63"/>
      <c r="HR256" s="54"/>
      <c r="HU256" s="86"/>
      <c r="HZ256" s="86"/>
      <c r="IA256" s="86"/>
      <c r="IF256" s="54"/>
      <c r="IK256" s="86"/>
    </row>
    <row r="257" spans="1:245">
      <c r="A257" s="86">
        <v>227</v>
      </c>
      <c r="B257" s="117"/>
      <c r="C257" s="117"/>
      <c r="D257" s="117"/>
      <c r="E257" s="117"/>
      <c r="K257" s="117"/>
      <c r="L257" s="117"/>
      <c r="M257" s="117"/>
      <c r="N257" s="117"/>
      <c r="O257" s="117"/>
      <c r="P257" s="117"/>
      <c r="Q257" s="117"/>
      <c r="R257" s="117"/>
      <c r="S257" s="117"/>
      <c r="T257" s="117"/>
      <c r="U257" s="74"/>
      <c r="V257" s="74"/>
      <c r="W257" s="74"/>
      <c r="X257" s="74"/>
      <c r="Y257" s="74"/>
      <c r="Z257" s="74"/>
      <c r="AA257" s="74"/>
      <c r="AB257" s="74"/>
      <c r="AC257" s="117"/>
      <c r="AD257" s="117"/>
      <c r="AE257" s="117"/>
      <c r="AF257" s="117"/>
      <c r="AG257" s="117"/>
      <c r="AH257" s="117"/>
      <c r="AI257" s="117"/>
      <c r="AJ257" s="117"/>
      <c r="AK257" s="117"/>
      <c r="AL257" s="117"/>
      <c r="AM257" s="117"/>
      <c r="AN257" s="117"/>
      <c r="AO257" s="117"/>
      <c r="AP257" s="117"/>
      <c r="AQ257" s="117"/>
      <c r="AR257" s="300"/>
      <c r="AS257" s="300"/>
      <c r="AT257" s="86"/>
      <c r="AU257" s="162"/>
      <c r="AV257" s="162"/>
      <c r="AW257" s="162"/>
      <c r="AX257" s="162"/>
      <c r="AY257" s="162"/>
      <c r="BB257" s="45"/>
      <c r="BC257" s="45"/>
      <c r="BD257" s="117"/>
      <c r="BE257" s="117"/>
      <c r="BF257" s="99"/>
      <c r="BG257" s="99"/>
      <c r="BH257" s="74"/>
      <c r="BI257" s="117"/>
      <c r="BJ257" s="117"/>
      <c r="BK257" s="117"/>
      <c r="BL257" s="117"/>
      <c r="BM257" s="117"/>
      <c r="BN257" s="117"/>
      <c r="BO257" s="117"/>
      <c r="BP257" s="117"/>
      <c r="BQ257" s="117"/>
      <c r="BR257" s="117"/>
      <c r="BS257" s="117"/>
      <c r="BT257" s="117"/>
      <c r="BU257" s="117"/>
      <c r="BV257" s="117"/>
      <c r="BW257" s="117"/>
      <c r="BX257" s="102"/>
      <c r="BY257" s="102"/>
      <c r="CD257" s="102"/>
      <c r="CE257" s="102"/>
      <c r="CG257" s="86"/>
      <c r="CH257" s="86"/>
      <c r="CI257" s="86"/>
      <c r="CJ257" s="86"/>
      <c r="CL257" s="63"/>
      <c r="CM257" s="54"/>
      <c r="CN257" s="54"/>
      <c r="CO257" s="54"/>
      <c r="CP257" s="54"/>
      <c r="CQ257" s="86"/>
      <c r="CR257" s="63"/>
      <c r="CS257" s="63"/>
      <c r="CT257" s="63"/>
      <c r="CU257" s="63"/>
      <c r="CV257" s="86"/>
      <c r="CW257" s="86"/>
      <c r="CX257" s="86"/>
      <c r="DF257" s="54"/>
      <c r="DG257" s="54"/>
      <c r="DH257" s="63"/>
      <c r="DI257" s="63"/>
      <c r="DJ257" s="63"/>
      <c r="DK257" s="63"/>
      <c r="DL257" s="63"/>
      <c r="DN257" s="86"/>
      <c r="DO257" s="86"/>
      <c r="DP257" s="86"/>
      <c r="DR257" s="63"/>
      <c r="DW257" s="54"/>
      <c r="DX257" s="54"/>
      <c r="DY257" s="63"/>
      <c r="DZ257" s="63"/>
      <c r="EA257" s="63"/>
      <c r="EB257" s="63"/>
      <c r="EC257" s="63"/>
      <c r="EE257" s="86"/>
      <c r="EF257" s="86"/>
      <c r="EG257" s="86"/>
      <c r="EI257" s="63"/>
      <c r="EN257" s="54"/>
      <c r="EQ257" s="86"/>
      <c r="ER257" s="86"/>
      <c r="EX257" s="54"/>
      <c r="FG257" s="86"/>
      <c r="FL257" s="45"/>
      <c r="FT257" s="63"/>
      <c r="FU257" s="54"/>
      <c r="FV257" s="54"/>
      <c r="FW257" s="54"/>
      <c r="FX257" s="86"/>
      <c r="FY257" s="86"/>
      <c r="FZ257" s="86"/>
      <c r="GA257" s="86"/>
      <c r="GB257" s="86"/>
      <c r="GD257" s="63"/>
      <c r="GE257" s="63"/>
      <c r="GF257" s="63"/>
      <c r="GG257" s="63"/>
      <c r="GH257" s="45"/>
      <c r="GI257" s="54"/>
      <c r="GJ257" s="54"/>
      <c r="GL257" s="86"/>
      <c r="GM257" s="86"/>
      <c r="GR257" s="86"/>
      <c r="GS257" s="86"/>
      <c r="GU257" s="63"/>
      <c r="GV257" s="63"/>
      <c r="GW257" s="63"/>
      <c r="GX257" s="63"/>
      <c r="GZ257" s="63"/>
      <c r="HA257" s="54"/>
      <c r="HD257" s="86"/>
      <c r="HI257" s="86"/>
      <c r="HJ257" s="86"/>
      <c r="HQ257" s="63"/>
      <c r="HR257" s="54"/>
      <c r="HU257" s="86"/>
      <c r="HZ257" s="86"/>
      <c r="IA257" s="86"/>
      <c r="IF257" s="54"/>
      <c r="IK257" s="86"/>
    </row>
    <row r="258" spans="1:245">
      <c r="A258" s="86">
        <v>228</v>
      </c>
      <c r="B258" s="117"/>
      <c r="C258" s="117"/>
      <c r="D258" s="117"/>
      <c r="E258" s="117"/>
      <c r="K258" s="117"/>
      <c r="L258" s="117"/>
      <c r="M258" s="117"/>
      <c r="N258" s="117"/>
      <c r="O258" s="117"/>
      <c r="P258" s="117"/>
      <c r="Q258" s="117"/>
      <c r="R258" s="117"/>
      <c r="S258" s="117"/>
      <c r="T258" s="117"/>
      <c r="U258" s="74"/>
      <c r="V258" s="74"/>
      <c r="W258" s="74"/>
      <c r="X258" s="74"/>
      <c r="Y258" s="74"/>
      <c r="Z258" s="74"/>
      <c r="AA258" s="74"/>
      <c r="AB258" s="74"/>
      <c r="AC258" s="117"/>
      <c r="AD258" s="117"/>
      <c r="AE258" s="117"/>
      <c r="AF258" s="117"/>
      <c r="AG258" s="117"/>
      <c r="AH258" s="117"/>
      <c r="AI258" s="117"/>
      <c r="AJ258" s="117"/>
      <c r="AK258" s="117"/>
      <c r="AL258" s="117"/>
      <c r="AM258" s="117"/>
      <c r="AN258" s="117"/>
      <c r="AO258" s="117"/>
      <c r="AP258" s="117"/>
      <c r="AQ258" s="117"/>
      <c r="AR258" s="300"/>
      <c r="AS258" s="300"/>
      <c r="AT258" s="86"/>
      <c r="AU258" s="162"/>
      <c r="AV258" s="162"/>
      <c r="AW258" s="162"/>
      <c r="AX258" s="162"/>
      <c r="AY258" s="162"/>
      <c r="BB258" s="45"/>
      <c r="BC258" s="45"/>
      <c r="BD258" s="117"/>
      <c r="BE258" s="117"/>
      <c r="BF258" s="99"/>
      <c r="BG258" s="99"/>
      <c r="BH258" s="74"/>
      <c r="BI258" s="117"/>
      <c r="BJ258" s="117"/>
      <c r="BK258" s="117"/>
      <c r="BL258" s="117"/>
      <c r="BM258" s="117"/>
      <c r="BN258" s="117"/>
      <c r="BO258" s="117"/>
      <c r="BP258" s="117"/>
      <c r="BQ258" s="117"/>
      <c r="BR258" s="117"/>
      <c r="BS258" s="117"/>
      <c r="BT258" s="117"/>
      <c r="BU258" s="117"/>
      <c r="BV258" s="117"/>
      <c r="BW258" s="117"/>
      <c r="BX258" s="102"/>
      <c r="BY258" s="102"/>
      <c r="CD258" s="102"/>
      <c r="CE258" s="102"/>
      <c r="CG258" s="86"/>
      <c r="CH258" s="86"/>
      <c r="CI258" s="86"/>
      <c r="CJ258" s="86"/>
      <c r="CL258" s="63"/>
      <c r="CM258" s="54"/>
      <c r="CN258" s="54"/>
      <c r="CO258" s="54"/>
      <c r="CP258" s="54"/>
      <c r="CQ258" s="86"/>
      <c r="CR258" s="63"/>
      <c r="CS258" s="63"/>
      <c r="CT258" s="63"/>
      <c r="CU258" s="63"/>
      <c r="CV258" s="86"/>
      <c r="CW258" s="86"/>
      <c r="CX258" s="86"/>
      <c r="DF258" s="54"/>
      <c r="DG258" s="54"/>
      <c r="DH258" s="63"/>
      <c r="DI258" s="63"/>
      <c r="DJ258" s="63"/>
      <c r="DK258" s="63"/>
      <c r="DL258" s="63"/>
      <c r="DN258" s="86"/>
      <c r="DO258" s="86"/>
      <c r="DP258" s="86"/>
      <c r="DR258" s="63"/>
      <c r="DW258" s="54"/>
      <c r="DX258" s="54"/>
      <c r="DY258" s="63"/>
      <c r="DZ258" s="63"/>
      <c r="EA258" s="63"/>
      <c r="EB258" s="63"/>
      <c r="EC258" s="63"/>
      <c r="EE258" s="86"/>
      <c r="EF258" s="86"/>
      <c r="EG258" s="86"/>
      <c r="EI258" s="63"/>
      <c r="EN258" s="54"/>
      <c r="EQ258" s="86"/>
      <c r="ER258" s="86"/>
      <c r="EX258" s="54"/>
      <c r="FG258" s="86"/>
      <c r="FL258" s="45"/>
      <c r="FT258" s="63"/>
      <c r="FU258" s="54"/>
      <c r="FV258" s="54"/>
      <c r="FW258" s="54"/>
      <c r="FX258" s="86"/>
      <c r="FY258" s="86"/>
      <c r="FZ258" s="86"/>
      <c r="GA258" s="86"/>
      <c r="GB258" s="86"/>
      <c r="GD258" s="63"/>
      <c r="GE258" s="63"/>
      <c r="GF258" s="63"/>
      <c r="GG258" s="63"/>
      <c r="GH258" s="45"/>
      <c r="GI258" s="54"/>
      <c r="GJ258" s="54"/>
      <c r="GL258" s="86"/>
      <c r="GM258" s="86"/>
      <c r="GR258" s="86"/>
      <c r="GS258" s="86"/>
      <c r="GU258" s="63"/>
      <c r="GV258" s="63"/>
      <c r="GW258" s="63"/>
      <c r="GX258" s="63"/>
      <c r="GZ258" s="63"/>
      <c r="HA258" s="54"/>
      <c r="HD258" s="86"/>
      <c r="HI258" s="86"/>
      <c r="HJ258" s="86"/>
      <c r="HQ258" s="63"/>
      <c r="HR258" s="54"/>
      <c r="HU258" s="86"/>
      <c r="HZ258" s="86"/>
      <c r="IA258" s="86"/>
      <c r="IF258" s="54"/>
      <c r="IK258" s="86"/>
    </row>
    <row r="259" spans="1:245">
      <c r="A259" s="86">
        <v>229</v>
      </c>
      <c r="B259" s="117"/>
      <c r="C259" s="117"/>
      <c r="D259" s="117"/>
      <c r="E259" s="117"/>
      <c r="K259" s="117"/>
      <c r="L259" s="117"/>
      <c r="M259" s="117"/>
      <c r="N259" s="117"/>
      <c r="O259" s="117"/>
      <c r="P259" s="117"/>
      <c r="Q259" s="117"/>
      <c r="R259" s="117"/>
      <c r="S259" s="117"/>
      <c r="T259" s="117"/>
      <c r="U259" s="74"/>
      <c r="V259" s="74"/>
      <c r="W259" s="74"/>
      <c r="X259" s="74"/>
      <c r="Y259" s="74"/>
      <c r="Z259" s="74"/>
      <c r="AA259" s="74"/>
      <c r="AB259" s="74"/>
      <c r="AC259" s="117"/>
      <c r="AD259" s="117"/>
      <c r="AE259" s="117"/>
      <c r="AF259" s="117"/>
      <c r="AG259" s="117"/>
      <c r="AH259" s="117"/>
      <c r="AI259" s="117"/>
      <c r="AJ259" s="117"/>
      <c r="AK259" s="117"/>
      <c r="AL259" s="117"/>
      <c r="AM259" s="117"/>
      <c r="AN259" s="117"/>
      <c r="AO259" s="117"/>
      <c r="AP259" s="117"/>
      <c r="AQ259" s="117"/>
      <c r="AR259" s="300"/>
      <c r="AS259" s="300"/>
      <c r="AT259" s="86"/>
      <c r="AU259" s="162"/>
      <c r="AV259" s="162"/>
      <c r="AW259" s="162"/>
      <c r="AX259" s="162"/>
      <c r="AY259" s="162"/>
      <c r="BB259" s="45"/>
      <c r="BC259" s="45"/>
      <c r="BD259" s="117"/>
      <c r="BE259" s="117"/>
      <c r="BF259" s="99"/>
      <c r="BG259" s="99"/>
      <c r="BH259" s="74"/>
      <c r="BI259" s="117"/>
      <c r="BJ259" s="117"/>
      <c r="BK259" s="117"/>
      <c r="BL259" s="117"/>
      <c r="BM259" s="117"/>
      <c r="BN259" s="117"/>
      <c r="BO259" s="117"/>
      <c r="BP259" s="117"/>
      <c r="BQ259" s="117"/>
      <c r="BR259" s="117"/>
      <c r="BS259" s="117"/>
      <c r="BT259" s="117"/>
      <c r="BU259" s="117"/>
      <c r="BV259" s="117"/>
      <c r="BW259" s="117"/>
      <c r="BX259" s="102"/>
      <c r="BY259" s="102"/>
      <c r="CD259" s="102"/>
      <c r="CE259" s="102"/>
      <c r="CG259" s="86"/>
      <c r="CH259" s="86"/>
      <c r="CI259" s="86"/>
      <c r="CJ259" s="86"/>
      <c r="CL259" s="63"/>
      <c r="CM259" s="54"/>
      <c r="CN259" s="54"/>
      <c r="CO259" s="54"/>
      <c r="CP259" s="54"/>
      <c r="CQ259" s="86"/>
      <c r="CR259" s="63"/>
      <c r="CS259" s="63"/>
      <c r="CT259" s="63"/>
      <c r="CU259" s="63"/>
      <c r="CV259" s="86"/>
      <c r="CW259" s="86"/>
      <c r="CX259" s="86"/>
      <c r="DF259" s="54"/>
      <c r="DG259" s="54"/>
      <c r="DH259" s="63"/>
      <c r="DI259" s="63"/>
      <c r="DJ259" s="63"/>
      <c r="DK259" s="63"/>
      <c r="DL259" s="63"/>
      <c r="DN259" s="86"/>
      <c r="DO259" s="86"/>
      <c r="DP259" s="86"/>
      <c r="DR259" s="63"/>
      <c r="DW259" s="54"/>
      <c r="DX259" s="54"/>
      <c r="DY259" s="63"/>
      <c r="DZ259" s="63"/>
      <c r="EA259" s="63"/>
      <c r="EB259" s="63"/>
      <c r="EC259" s="63"/>
      <c r="EE259" s="86"/>
      <c r="EF259" s="86"/>
      <c r="EG259" s="86"/>
      <c r="EI259" s="63"/>
      <c r="EN259" s="54"/>
      <c r="EQ259" s="86"/>
      <c r="ER259" s="86"/>
      <c r="EX259" s="54"/>
      <c r="FG259" s="86"/>
      <c r="FL259" s="45"/>
      <c r="FT259" s="63"/>
      <c r="FU259" s="54"/>
      <c r="FV259" s="54"/>
      <c r="FW259" s="54"/>
      <c r="FX259" s="86"/>
      <c r="FY259" s="86"/>
      <c r="FZ259" s="86"/>
      <c r="GA259" s="86"/>
      <c r="GB259" s="86"/>
      <c r="GD259" s="63"/>
      <c r="GE259" s="63"/>
      <c r="GF259" s="63"/>
      <c r="GG259" s="63"/>
      <c r="GH259" s="45"/>
      <c r="GI259" s="54"/>
      <c r="GJ259" s="54"/>
      <c r="GL259" s="86"/>
      <c r="GM259" s="86"/>
      <c r="GR259" s="86"/>
      <c r="GS259" s="86"/>
      <c r="GU259" s="63"/>
      <c r="GV259" s="63"/>
      <c r="GW259" s="63"/>
      <c r="GX259" s="63"/>
      <c r="GZ259" s="63"/>
      <c r="HA259" s="54"/>
      <c r="HD259" s="86"/>
      <c r="HI259" s="86"/>
      <c r="HJ259" s="86"/>
      <c r="HQ259" s="63"/>
      <c r="HR259" s="54"/>
      <c r="HU259" s="86"/>
      <c r="HZ259" s="86"/>
      <c r="IA259" s="86"/>
      <c r="IF259" s="54"/>
      <c r="IK259" s="86"/>
    </row>
    <row r="260" spans="1:245">
      <c r="A260" s="86">
        <v>230</v>
      </c>
      <c r="B260" s="117"/>
      <c r="C260" s="117"/>
      <c r="D260" s="117"/>
      <c r="E260" s="117"/>
      <c r="K260" s="117"/>
      <c r="L260" s="117"/>
      <c r="M260" s="117"/>
      <c r="N260" s="117"/>
      <c r="O260" s="117"/>
      <c r="P260" s="117"/>
      <c r="Q260" s="117"/>
      <c r="R260" s="117"/>
      <c r="S260" s="117"/>
      <c r="T260" s="117"/>
      <c r="U260" s="74"/>
      <c r="V260" s="74"/>
      <c r="W260" s="74"/>
      <c r="X260" s="74"/>
      <c r="Y260" s="74"/>
      <c r="Z260" s="74"/>
      <c r="AA260" s="74"/>
      <c r="AB260" s="74"/>
      <c r="AC260" s="117"/>
      <c r="AD260" s="117"/>
      <c r="AE260" s="117"/>
      <c r="AF260" s="117"/>
      <c r="AG260" s="117"/>
      <c r="AH260" s="117"/>
      <c r="AI260" s="117"/>
      <c r="AJ260" s="117"/>
      <c r="AK260" s="117"/>
      <c r="AL260" s="117"/>
      <c r="AM260" s="117"/>
      <c r="AN260" s="117"/>
      <c r="AO260" s="117"/>
      <c r="AP260" s="117"/>
      <c r="AQ260" s="117"/>
      <c r="AR260" s="300"/>
      <c r="AS260" s="300"/>
      <c r="AT260" s="86"/>
      <c r="AU260" s="162"/>
      <c r="AV260" s="162"/>
      <c r="AW260" s="162"/>
      <c r="AX260" s="162"/>
      <c r="AY260" s="162"/>
      <c r="BB260" s="45"/>
      <c r="BC260" s="45"/>
      <c r="BD260" s="117"/>
      <c r="BE260" s="117"/>
      <c r="BF260" s="99"/>
      <c r="BG260" s="99"/>
      <c r="BH260" s="74"/>
      <c r="BI260" s="117"/>
      <c r="BJ260" s="117"/>
      <c r="BK260" s="117"/>
      <c r="BL260" s="117"/>
      <c r="BM260" s="117"/>
      <c r="BN260" s="117"/>
      <c r="BO260" s="117"/>
      <c r="BP260" s="117"/>
      <c r="BQ260" s="117"/>
      <c r="BR260" s="117"/>
      <c r="BS260" s="117"/>
      <c r="BT260" s="117"/>
      <c r="BU260" s="117"/>
      <c r="BV260" s="117"/>
      <c r="BW260" s="117"/>
      <c r="BX260" s="102"/>
      <c r="BY260" s="102"/>
      <c r="CD260" s="102"/>
      <c r="CE260" s="102"/>
      <c r="CG260" s="86"/>
      <c r="CH260" s="86"/>
      <c r="CI260" s="86"/>
      <c r="CJ260" s="86"/>
      <c r="CL260" s="63"/>
      <c r="CM260" s="54"/>
      <c r="CN260" s="54"/>
      <c r="CO260" s="54"/>
      <c r="CP260" s="54"/>
      <c r="CQ260" s="86"/>
      <c r="CR260" s="63"/>
      <c r="CS260" s="63"/>
      <c r="CT260" s="63"/>
      <c r="CU260" s="63"/>
      <c r="CV260" s="86"/>
      <c r="CW260" s="86"/>
      <c r="CX260" s="86"/>
      <c r="DF260" s="54"/>
      <c r="DG260" s="54"/>
      <c r="DH260" s="63"/>
      <c r="DI260" s="63"/>
      <c r="DJ260" s="63"/>
      <c r="DK260" s="63"/>
      <c r="DL260" s="63"/>
      <c r="DN260" s="86"/>
      <c r="DO260" s="86"/>
      <c r="DP260" s="86"/>
      <c r="DR260" s="63"/>
      <c r="DW260" s="54"/>
      <c r="DX260" s="54"/>
      <c r="DY260" s="63"/>
      <c r="DZ260" s="63"/>
      <c r="EA260" s="63"/>
      <c r="EB260" s="63"/>
      <c r="EC260" s="63"/>
      <c r="EE260" s="86"/>
      <c r="EF260" s="86"/>
      <c r="EG260" s="86"/>
      <c r="EI260" s="63"/>
      <c r="EN260" s="54"/>
      <c r="EQ260" s="86"/>
      <c r="ER260" s="86"/>
      <c r="EX260" s="54"/>
      <c r="FG260" s="86"/>
      <c r="FL260" s="45"/>
      <c r="FT260" s="63"/>
      <c r="FU260" s="54"/>
      <c r="FV260" s="54"/>
      <c r="FW260" s="54"/>
      <c r="FX260" s="86"/>
      <c r="FY260" s="86"/>
      <c r="FZ260" s="86"/>
      <c r="GA260" s="86"/>
      <c r="GB260" s="86"/>
      <c r="GD260" s="63"/>
      <c r="GE260" s="63"/>
      <c r="GF260" s="63"/>
      <c r="GG260" s="63"/>
      <c r="GH260" s="45"/>
      <c r="GI260" s="54"/>
      <c r="GJ260" s="54"/>
      <c r="GL260" s="86"/>
      <c r="GM260" s="86"/>
      <c r="GR260" s="86"/>
      <c r="GS260" s="86"/>
      <c r="GU260" s="63"/>
      <c r="GV260" s="63"/>
      <c r="GW260" s="63"/>
      <c r="GX260" s="63"/>
      <c r="GZ260" s="63"/>
      <c r="HA260" s="54"/>
      <c r="HD260" s="86"/>
      <c r="HI260" s="86"/>
      <c r="HJ260" s="86"/>
      <c r="HQ260" s="63"/>
      <c r="HR260" s="54"/>
      <c r="HU260" s="86"/>
      <c r="HZ260" s="86"/>
      <c r="IA260" s="86"/>
      <c r="IF260" s="54"/>
      <c r="IK260" s="86"/>
    </row>
    <row r="261" spans="1:245">
      <c r="A261" s="86">
        <v>231</v>
      </c>
      <c r="B261" s="117"/>
      <c r="C261" s="117"/>
      <c r="D261" s="117"/>
      <c r="E261" s="117"/>
      <c r="K261" s="117"/>
      <c r="L261" s="117"/>
      <c r="M261" s="117"/>
      <c r="N261" s="117"/>
      <c r="O261" s="117"/>
      <c r="P261" s="117"/>
      <c r="Q261" s="117"/>
      <c r="R261" s="117"/>
      <c r="S261" s="117"/>
      <c r="T261" s="117"/>
      <c r="U261" s="74"/>
      <c r="V261" s="74"/>
      <c r="W261" s="74"/>
      <c r="X261" s="74"/>
      <c r="Y261" s="74"/>
      <c r="Z261" s="74"/>
      <c r="AA261" s="74"/>
      <c r="AB261" s="74"/>
      <c r="AC261" s="117"/>
      <c r="AD261" s="117"/>
      <c r="AE261" s="117"/>
      <c r="AF261" s="117"/>
      <c r="AG261" s="117"/>
      <c r="AH261" s="117"/>
      <c r="AI261" s="117"/>
      <c r="AJ261" s="117"/>
      <c r="AK261" s="117"/>
      <c r="AL261" s="117"/>
      <c r="AM261" s="117"/>
      <c r="AN261" s="117"/>
      <c r="AO261" s="117"/>
      <c r="AP261" s="117"/>
      <c r="AQ261" s="117"/>
      <c r="AR261" s="300"/>
      <c r="AS261" s="300"/>
      <c r="AT261" s="86"/>
      <c r="AU261" s="162"/>
      <c r="AV261" s="162"/>
      <c r="AW261" s="162"/>
      <c r="AX261" s="162"/>
      <c r="AY261" s="162"/>
      <c r="BB261" s="45"/>
      <c r="BC261" s="45"/>
      <c r="BD261" s="117"/>
      <c r="BE261" s="117"/>
      <c r="BF261" s="99"/>
      <c r="BG261" s="99"/>
      <c r="BH261" s="74"/>
      <c r="BI261" s="117"/>
      <c r="BJ261" s="117"/>
      <c r="BK261" s="117"/>
      <c r="BL261" s="117"/>
      <c r="BM261" s="117"/>
      <c r="BN261" s="117"/>
      <c r="BO261" s="117"/>
      <c r="BP261" s="117"/>
      <c r="BQ261" s="117"/>
      <c r="BR261" s="117"/>
      <c r="BS261" s="117"/>
      <c r="BT261" s="117"/>
      <c r="BU261" s="117"/>
      <c r="BV261" s="117"/>
      <c r="BW261" s="117"/>
      <c r="BX261" s="102"/>
      <c r="BY261" s="102"/>
      <c r="CD261" s="102"/>
      <c r="CE261" s="102"/>
      <c r="CG261" s="86"/>
      <c r="CH261" s="86"/>
      <c r="CI261" s="86"/>
      <c r="CJ261" s="86"/>
      <c r="CL261" s="63"/>
      <c r="CM261" s="54"/>
      <c r="CN261" s="54"/>
      <c r="CO261" s="54"/>
      <c r="CP261" s="54"/>
      <c r="CQ261" s="86"/>
      <c r="CR261" s="63"/>
      <c r="CS261" s="63"/>
      <c r="CT261" s="63"/>
      <c r="CU261" s="63"/>
      <c r="CV261" s="86"/>
      <c r="CW261" s="86"/>
      <c r="CX261" s="86"/>
      <c r="DF261" s="54"/>
      <c r="DG261" s="54"/>
      <c r="DH261" s="63"/>
      <c r="DI261" s="63"/>
      <c r="DJ261" s="63"/>
      <c r="DK261" s="63"/>
      <c r="DL261" s="63"/>
      <c r="DN261" s="86"/>
      <c r="DO261" s="86"/>
      <c r="DP261" s="86"/>
      <c r="DR261" s="63"/>
      <c r="DW261" s="54"/>
      <c r="DX261" s="54"/>
      <c r="DY261" s="63"/>
      <c r="DZ261" s="63"/>
      <c r="EA261" s="63"/>
      <c r="EB261" s="63"/>
      <c r="EC261" s="63"/>
      <c r="EE261" s="86"/>
      <c r="EF261" s="86"/>
      <c r="EG261" s="86"/>
      <c r="EI261" s="63"/>
      <c r="EN261" s="54"/>
      <c r="EQ261" s="86"/>
      <c r="ER261" s="86"/>
      <c r="EX261" s="54"/>
      <c r="FG261" s="86"/>
      <c r="FL261" s="45"/>
      <c r="FT261" s="63"/>
      <c r="FU261" s="54"/>
      <c r="FV261" s="54"/>
      <c r="FW261" s="54"/>
      <c r="FX261" s="86"/>
      <c r="FY261" s="86"/>
      <c r="FZ261" s="86"/>
      <c r="GA261" s="86"/>
      <c r="GB261" s="86"/>
      <c r="GD261" s="63"/>
      <c r="GE261" s="63"/>
      <c r="GF261" s="63"/>
      <c r="GG261" s="63"/>
      <c r="GH261" s="45"/>
      <c r="GI261" s="54"/>
      <c r="GJ261" s="54"/>
      <c r="GL261" s="86"/>
      <c r="GM261" s="86"/>
      <c r="GR261" s="86"/>
      <c r="GS261" s="86"/>
      <c r="GU261" s="63"/>
      <c r="GV261" s="63"/>
      <c r="GW261" s="63"/>
      <c r="GX261" s="63"/>
      <c r="GZ261" s="63"/>
      <c r="HA261" s="54"/>
      <c r="HD261" s="86"/>
      <c r="HI261" s="86"/>
      <c r="HJ261" s="86"/>
      <c r="HQ261" s="63"/>
      <c r="HR261" s="54"/>
      <c r="HU261" s="86"/>
      <c r="HZ261" s="86"/>
      <c r="IA261" s="86"/>
      <c r="IF261" s="54"/>
      <c r="IK261" s="86"/>
    </row>
    <row r="262" spans="1:245">
      <c r="A262" s="86">
        <v>232</v>
      </c>
      <c r="B262" s="117"/>
      <c r="C262" s="117"/>
      <c r="D262" s="117"/>
      <c r="E262" s="117"/>
      <c r="K262" s="117"/>
      <c r="L262" s="117"/>
      <c r="M262" s="117"/>
      <c r="N262" s="117"/>
      <c r="O262" s="117"/>
      <c r="P262" s="117"/>
      <c r="Q262" s="117"/>
      <c r="R262" s="117"/>
      <c r="S262" s="117"/>
      <c r="T262" s="117"/>
      <c r="U262" s="74"/>
      <c r="V262" s="74"/>
      <c r="W262" s="74"/>
      <c r="X262" s="74"/>
      <c r="Y262" s="74"/>
      <c r="Z262" s="74"/>
      <c r="AA262" s="74"/>
      <c r="AB262" s="74"/>
      <c r="AC262" s="117"/>
      <c r="AD262" s="117"/>
      <c r="AE262" s="117"/>
      <c r="AF262" s="117"/>
      <c r="AG262" s="117"/>
      <c r="AH262" s="117"/>
      <c r="AI262" s="117"/>
      <c r="AJ262" s="117"/>
      <c r="AK262" s="117"/>
      <c r="AL262" s="117"/>
      <c r="AM262" s="117"/>
      <c r="AN262" s="117"/>
      <c r="AO262" s="117"/>
      <c r="AP262" s="117"/>
      <c r="AQ262" s="117"/>
      <c r="AR262" s="300"/>
      <c r="AS262" s="300"/>
      <c r="AT262" s="86"/>
      <c r="AU262" s="162"/>
      <c r="AV262" s="162"/>
      <c r="AW262" s="162"/>
      <c r="AX262" s="162"/>
      <c r="AY262" s="162"/>
      <c r="BB262" s="45"/>
      <c r="BC262" s="45"/>
      <c r="BD262" s="117"/>
      <c r="BE262" s="117"/>
      <c r="BF262" s="99"/>
      <c r="BG262" s="99"/>
      <c r="BH262" s="74"/>
      <c r="BI262" s="117"/>
      <c r="BJ262" s="117"/>
      <c r="BK262" s="117"/>
      <c r="BL262" s="117"/>
      <c r="BM262" s="117"/>
      <c r="BN262" s="117"/>
      <c r="BO262" s="117"/>
      <c r="BP262" s="117"/>
      <c r="BQ262" s="117"/>
      <c r="BR262" s="117"/>
      <c r="BS262" s="117"/>
      <c r="BT262" s="117"/>
      <c r="BU262" s="117"/>
      <c r="BV262" s="117"/>
      <c r="BW262" s="117"/>
      <c r="BX262" s="102"/>
      <c r="BY262" s="102"/>
      <c r="CD262" s="102"/>
      <c r="CE262" s="102"/>
      <c r="CG262" s="86"/>
      <c r="CH262" s="86"/>
      <c r="CI262" s="86"/>
      <c r="CJ262" s="86"/>
      <c r="CL262" s="63"/>
      <c r="CM262" s="54"/>
      <c r="CN262" s="54"/>
      <c r="CO262" s="54"/>
      <c r="CP262" s="54"/>
      <c r="CQ262" s="86"/>
      <c r="CR262" s="63"/>
      <c r="CS262" s="63"/>
      <c r="CT262" s="63"/>
      <c r="CU262" s="63"/>
      <c r="CV262" s="86"/>
      <c r="CW262" s="86"/>
      <c r="CX262" s="86"/>
      <c r="DF262" s="54"/>
      <c r="DG262" s="54"/>
      <c r="DH262" s="63"/>
      <c r="DI262" s="63"/>
      <c r="DJ262" s="63"/>
      <c r="DK262" s="63"/>
      <c r="DL262" s="63"/>
      <c r="DN262" s="86"/>
      <c r="DO262" s="86"/>
      <c r="DP262" s="86"/>
      <c r="DR262" s="63"/>
      <c r="DW262" s="54"/>
      <c r="DX262" s="54"/>
      <c r="DY262" s="63"/>
      <c r="DZ262" s="63"/>
      <c r="EA262" s="63"/>
      <c r="EB262" s="63"/>
      <c r="EC262" s="63"/>
      <c r="EE262" s="86"/>
      <c r="EF262" s="86"/>
      <c r="EG262" s="86"/>
      <c r="EI262" s="63"/>
      <c r="EN262" s="54"/>
      <c r="EQ262" s="86"/>
      <c r="ER262" s="86"/>
      <c r="EX262" s="54"/>
      <c r="FG262" s="86"/>
      <c r="FL262" s="45"/>
      <c r="FT262" s="63"/>
      <c r="FU262" s="54"/>
      <c r="FV262" s="54"/>
      <c r="FW262" s="54"/>
      <c r="FX262" s="86"/>
      <c r="FY262" s="86"/>
      <c r="FZ262" s="86"/>
      <c r="GA262" s="86"/>
      <c r="GB262" s="86"/>
      <c r="GD262" s="63"/>
      <c r="GE262" s="63"/>
      <c r="GF262" s="63"/>
      <c r="GG262" s="63"/>
      <c r="GH262" s="45"/>
      <c r="GI262" s="54"/>
      <c r="GJ262" s="54"/>
      <c r="GL262" s="86"/>
      <c r="GM262" s="86"/>
      <c r="GR262" s="86"/>
      <c r="GS262" s="86"/>
      <c r="GU262" s="63"/>
      <c r="GV262" s="63"/>
      <c r="GW262" s="63"/>
      <c r="GX262" s="63"/>
      <c r="GZ262" s="63"/>
      <c r="HA262" s="54"/>
      <c r="HD262" s="86"/>
      <c r="HI262" s="86"/>
      <c r="HJ262" s="86"/>
      <c r="HQ262" s="63"/>
      <c r="HR262" s="54"/>
      <c r="HU262" s="86"/>
      <c r="HZ262" s="86"/>
      <c r="IA262" s="86"/>
      <c r="IF262" s="54"/>
      <c r="IK262" s="86"/>
    </row>
    <row r="263" spans="1:245">
      <c r="A263" s="86">
        <v>233</v>
      </c>
      <c r="B263" s="117"/>
      <c r="C263" s="117"/>
      <c r="D263" s="117"/>
      <c r="E263" s="117"/>
      <c r="K263" s="117"/>
      <c r="L263" s="117"/>
      <c r="M263" s="117"/>
      <c r="N263" s="117"/>
      <c r="O263" s="117"/>
      <c r="P263" s="117"/>
      <c r="Q263" s="117"/>
      <c r="R263" s="117"/>
      <c r="S263" s="117"/>
      <c r="T263" s="117"/>
      <c r="U263" s="74"/>
      <c r="V263" s="74"/>
      <c r="W263" s="74"/>
      <c r="X263" s="74"/>
      <c r="Y263" s="74"/>
      <c r="Z263" s="74"/>
      <c r="AA263" s="74"/>
      <c r="AB263" s="74"/>
      <c r="AC263" s="117"/>
      <c r="AD263" s="117"/>
      <c r="AE263" s="117"/>
      <c r="AF263" s="117"/>
      <c r="AG263" s="117"/>
      <c r="AH263" s="117"/>
      <c r="AI263" s="117"/>
      <c r="AJ263" s="117"/>
      <c r="AK263" s="117"/>
      <c r="AL263" s="117"/>
      <c r="AM263" s="117"/>
      <c r="AN263" s="117"/>
      <c r="AO263" s="117"/>
      <c r="AP263" s="117"/>
      <c r="AQ263" s="117"/>
      <c r="AR263" s="300"/>
      <c r="AS263" s="300"/>
      <c r="AT263" s="86"/>
      <c r="AU263" s="162"/>
      <c r="AV263" s="162"/>
      <c r="AW263" s="162"/>
      <c r="AX263" s="162"/>
      <c r="AY263" s="162"/>
      <c r="BB263" s="45"/>
      <c r="BC263" s="45"/>
      <c r="BD263" s="117"/>
      <c r="BE263" s="117"/>
      <c r="BF263" s="99"/>
      <c r="BG263" s="99"/>
      <c r="BH263" s="74"/>
      <c r="BI263" s="117"/>
      <c r="BJ263" s="117"/>
      <c r="BK263" s="117"/>
      <c r="BL263" s="117"/>
      <c r="BM263" s="117"/>
      <c r="BN263" s="117"/>
      <c r="BO263" s="117"/>
      <c r="BP263" s="117"/>
      <c r="BQ263" s="117"/>
      <c r="BR263" s="117"/>
      <c r="BS263" s="117"/>
      <c r="BT263" s="117"/>
      <c r="BU263" s="117"/>
      <c r="BV263" s="117"/>
      <c r="BW263" s="117"/>
      <c r="BX263" s="102"/>
      <c r="BY263" s="102"/>
      <c r="CD263" s="102"/>
      <c r="CE263" s="102"/>
      <c r="CG263" s="86"/>
      <c r="CH263" s="86"/>
      <c r="CI263" s="86"/>
      <c r="CJ263" s="86"/>
      <c r="CL263" s="63"/>
      <c r="CM263" s="54"/>
      <c r="CN263" s="54"/>
      <c r="CO263" s="54"/>
      <c r="CP263" s="54"/>
      <c r="CQ263" s="86"/>
      <c r="CR263" s="63"/>
      <c r="CS263" s="63"/>
      <c r="CT263" s="63"/>
      <c r="CU263" s="63"/>
      <c r="CV263" s="86"/>
      <c r="CW263" s="86"/>
      <c r="CX263" s="86"/>
      <c r="DF263" s="54"/>
      <c r="DG263" s="54"/>
      <c r="DH263" s="63"/>
      <c r="DI263" s="63"/>
      <c r="DJ263" s="63"/>
      <c r="DK263" s="63"/>
      <c r="DL263" s="63"/>
      <c r="DN263" s="86"/>
      <c r="DO263" s="86"/>
      <c r="DP263" s="86"/>
      <c r="DR263" s="63"/>
      <c r="DW263" s="54"/>
      <c r="DX263" s="54"/>
      <c r="DY263" s="63"/>
      <c r="DZ263" s="63"/>
      <c r="EA263" s="63"/>
      <c r="EB263" s="63"/>
      <c r="EC263" s="63"/>
      <c r="EE263" s="86"/>
      <c r="EF263" s="86"/>
      <c r="EG263" s="86"/>
      <c r="EI263" s="63"/>
      <c r="EN263" s="54"/>
      <c r="EQ263" s="86"/>
      <c r="ER263" s="86"/>
      <c r="EX263" s="54"/>
      <c r="FG263" s="86"/>
      <c r="FL263" s="45"/>
      <c r="FT263" s="63"/>
      <c r="FU263" s="54"/>
      <c r="FV263" s="54"/>
      <c r="FW263" s="54"/>
      <c r="FX263" s="86"/>
      <c r="FY263" s="86"/>
      <c r="FZ263" s="86"/>
      <c r="GA263" s="86"/>
      <c r="GB263" s="86"/>
      <c r="GD263" s="63"/>
      <c r="GE263" s="63"/>
      <c r="GF263" s="63"/>
      <c r="GG263" s="63"/>
      <c r="GH263" s="45"/>
      <c r="GI263" s="54"/>
      <c r="GJ263" s="54"/>
      <c r="GL263" s="86"/>
      <c r="GM263" s="86"/>
      <c r="GR263" s="86"/>
      <c r="GS263" s="86"/>
      <c r="GU263" s="63"/>
      <c r="GV263" s="63"/>
      <c r="GW263" s="63"/>
      <c r="GX263" s="63"/>
      <c r="GZ263" s="63"/>
      <c r="HA263" s="54"/>
      <c r="HD263" s="86"/>
      <c r="HI263" s="86"/>
      <c r="HJ263" s="86"/>
      <c r="HQ263" s="63"/>
      <c r="HR263" s="54"/>
      <c r="HU263" s="86"/>
      <c r="HZ263" s="86"/>
      <c r="IA263" s="86"/>
      <c r="IF263" s="54"/>
      <c r="IK263" s="86"/>
    </row>
    <row r="264" spans="1:245">
      <c r="A264" s="86">
        <v>234</v>
      </c>
      <c r="B264" s="117"/>
      <c r="C264" s="117"/>
      <c r="D264" s="117"/>
      <c r="E264" s="117"/>
      <c r="K264" s="117"/>
      <c r="L264" s="117"/>
      <c r="M264" s="117"/>
      <c r="N264" s="117"/>
      <c r="O264" s="117"/>
      <c r="P264" s="117"/>
      <c r="Q264" s="117"/>
      <c r="R264" s="117"/>
      <c r="S264" s="117"/>
      <c r="T264" s="117"/>
      <c r="U264" s="74"/>
      <c r="V264" s="74"/>
      <c r="W264" s="74"/>
      <c r="X264" s="74"/>
      <c r="Y264" s="74"/>
      <c r="Z264" s="74"/>
      <c r="AA264" s="74"/>
      <c r="AB264" s="74"/>
      <c r="AC264" s="117"/>
      <c r="AD264" s="117"/>
      <c r="AE264" s="117"/>
      <c r="AF264" s="117"/>
      <c r="AG264" s="117"/>
      <c r="AH264" s="117"/>
      <c r="AI264" s="117"/>
      <c r="AJ264" s="117"/>
      <c r="AK264" s="117"/>
      <c r="AL264" s="117"/>
      <c r="AM264" s="117"/>
      <c r="AN264" s="117"/>
      <c r="AO264" s="117"/>
      <c r="AP264" s="117"/>
      <c r="AQ264" s="117"/>
      <c r="AR264" s="300"/>
      <c r="AS264" s="300"/>
      <c r="AT264" s="86"/>
      <c r="AU264" s="162"/>
      <c r="AV264" s="162"/>
      <c r="AW264" s="162"/>
      <c r="AX264" s="162"/>
      <c r="AY264" s="162"/>
      <c r="BB264" s="45"/>
      <c r="BC264" s="45"/>
      <c r="BD264" s="117"/>
      <c r="BE264" s="117"/>
      <c r="BF264" s="99"/>
      <c r="BG264" s="99"/>
      <c r="BH264" s="74"/>
      <c r="BI264" s="117"/>
      <c r="BJ264" s="117"/>
      <c r="BK264" s="117"/>
      <c r="BL264" s="117"/>
      <c r="BM264" s="117"/>
      <c r="BN264" s="117"/>
      <c r="BO264" s="117"/>
      <c r="BP264" s="117"/>
      <c r="BQ264" s="117"/>
      <c r="BR264" s="117"/>
      <c r="BS264" s="117"/>
      <c r="BT264" s="117"/>
      <c r="BU264" s="117"/>
      <c r="BV264" s="117"/>
      <c r="BW264" s="117"/>
      <c r="BX264" s="102"/>
      <c r="BY264" s="102"/>
      <c r="CD264" s="102"/>
      <c r="CE264" s="102"/>
      <c r="CG264" s="86"/>
      <c r="CH264" s="86"/>
      <c r="CI264" s="86"/>
      <c r="CJ264" s="86"/>
      <c r="CL264" s="63"/>
      <c r="CM264" s="54"/>
      <c r="CN264" s="54"/>
      <c r="CO264" s="54"/>
      <c r="CP264" s="54"/>
      <c r="CQ264" s="86"/>
      <c r="CR264" s="63"/>
      <c r="CS264" s="63"/>
      <c r="CT264" s="63"/>
      <c r="CU264" s="63"/>
      <c r="CV264" s="86"/>
      <c r="CW264" s="86"/>
      <c r="CX264" s="86"/>
      <c r="DF264" s="54"/>
      <c r="DG264" s="54"/>
      <c r="DH264" s="63"/>
      <c r="DI264" s="63"/>
      <c r="DJ264" s="63"/>
      <c r="DK264" s="63"/>
      <c r="DL264" s="63"/>
      <c r="DN264" s="86"/>
      <c r="DO264" s="86"/>
      <c r="DP264" s="86"/>
      <c r="DR264" s="63"/>
      <c r="DW264" s="54"/>
      <c r="DX264" s="54"/>
      <c r="DY264" s="63"/>
      <c r="DZ264" s="63"/>
      <c r="EA264" s="63"/>
      <c r="EB264" s="63"/>
      <c r="EC264" s="63"/>
      <c r="EE264" s="86"/>
      <c r="EF264" s="86"/>
      <c r="EG264" s="86"/>
      <c r="EI264" s="63"/>
      <c r="EN264" s="54"/>
      <c r="EQ264" s="86"/>
      <c r="ER264" s="86"/>
      <c r="EX264" s="54"/>
      <c r="FG264" s="86"/>
      <c r="FL264" s="45"/>
      <c r="FT264" s="63"/>
      <c r="FU264" s="54"/>
      <c r="FV264" s="54"/>
      <c r="FW264" s="54"/>
      <c r="FX264" s="86"/>
      <c r="FY264" s="86"/>
      <c r="FZ264" s="86"/>
      <c r="GA264" s="86"/>
      <c r="GB264" s="86"/>
      <c r="GD264" s="63"/>
      <c r="GE264" s="63"/>
      <c r="GF264" s="63"/>
      <c r="GG264" s="63"/>
      <c r="GH264" s="45"/>
      <c r="GI264" s="54"/>
      <c r="GJ264" s="54"/>
      <c r="GL264" s="86"/>
      <c r="GM264" s="86"/>
      <c r="GR264" s="86"/>
      <c r="GS264" s="86"/>
      <c r="GU264" s="63"/>
      <c r="GV264" s="63"/>
      <c r="GW264" s="63"/>
      <c r="GX264" s="63"/>
      <c r="GZ264" s="63"/>
      <c r="HA264" s="54"/>
      <c r="HD264" s="86"/>
      <c r="HI264" s="86"/>
      <c r="HJ264" s="86"/>
      <c r="HQ264" s="63"/>
      <c r="HR264" s="54"/>
      <c r="HU264" s="86"/>
      <c r="HZ264" s="86"/>
      <c r="IA264" s="86"/>
      <c r="IF264" s="54"/>
      <c r="IK264" s="86"/>
    </row>
    <row r="265" spans="1:245">
      <c r="A265" s="86">
        <v>235</v>
      </c>
      <c r="B265" s="117"/>
      <c r="C265" s="117"/>
      <c r="D265" s="117"/>
      <c r="E265" s="117"/>
      <c r="K265" s="117"/>
      <c r="L265" s="117"/>
      <c r="M265" s="117"/>
      <c r="N265" s="117"/>
      <c r="O265" s="117"/>
      <c r="P265" s="117"/>
      <c r="Q265" s="117"/>
      <c r="R265" s="117"/>
      <c r="S265" s="117"/>
      <c r="T265" s="117"/>
      <c r="U265" s="74"/>
      <c r="V265" s="74"/>
      <c r="W265" s="74"/>
      <c r="X265" s="74"/>
      <c r="Y265" s="74"/>
      <c r="Z265" s="74"/>
      <c r="AA265" s="74"/>
      <c r="AB265" s="74"/>
      <c r="AC265" s="117"/>
      <c r="AD265" s="117"/>
      <c r="AE265" s="117"/>
      <c r="AF265" s="117"/>
      <c r="AG265" s="117"/>
      <c r="AH265" s="117"/>
      <c r="AI265" s="117"/>
      <c r="AJ265" s="117"/>
      <c r="AK265" s="117"/>
      <c r="AL265" s="117"/>
      <c r="AM265" s="117"/>
      <c r="AN265" s="117"/>
      <c r="AO265" s="117"/>
      <c r="AP265" s="117"/>
      <c r="AQ265" s="117"/>
      <c r="AR265" s="300"/>
      <c r="AS265" s="300"/>
      <c r="AT265" s="86"/>
      <c r="AU265" s="162"/>
      <c r="AV265" s="162"/>
      <c r="AW265" s="162"/>
      <c r="AX265" s="162"/>
      <c r="AY265" s="162"/>
      <c r="BB265" s="45"/>
      <c r="BC265" s="45"/>
      <c r="BD265" s="117"/>
      <c r="BE265" s="117"/>
      <c r="BF265" s="99"/>
      <c r="BG265" s="99"/>
      <c r="BH265" s="74"/>
      <c r="BI265" s="117"/>
      <c r="BJ265" s="117"/>
      <c r="BK265" s="117"/>
      <c r="BL265" s="117"/>
      <c r="BM265" s="117"/>
      <c r="BN265" s="117"/>
      <c r="BO265" s="117"/>
      <c r="BP265" s="117"/>
      <c r="BQ265" s="117"/>
      <c r="BR265" s="117"/>
      <c r="BS265" s="117"/>
      <c r="BT265" s="117"/>
      <c r="BU265" s="117"/>
      <c r="BV265" s="117"/>
      <c r="BW265" s="117"/>
      <c r="BX265" s="102"/>
      <c r="BY265" s="102"/>
      <c r="CD265" s="102"/>
      <c r="CE265" s="102"/>
      <c r="CG265" s="86"/>
      <c r="CH265" s="86"/>
      <c r="CI265" s="86"/>
      <c r="CJ265" s="86"/>
      <c r="CL265" s="63"/>
      <c r="CM265" s="54"/>
      <c r="CN265" s="54"/>
      <c r="CO265" s="54"/>
      <c r="CP265" s="54"/>
      <c r="CQ265" s="86"/>
      <c r="CR265" s="63"/>
      <c r="CS265" s="63"/>
      <c r="CT265" s="63"/>
      <c r="CU265" s="63"/>
      <c r="CV265" s="86"/>
      <c r="CW265" s="86"/>
      <c r="CX265" s="86"/>
      <c r="DF265" s="54"/>
      <c r="DG265" s="54"/>
      <c r="DH265" s="63"/>
      <c r="DI265" s="63"/>
      <c r="DJ265" s="63"/>
      <c r="DK265" s="63"/>
      <c r="DL265" s="63"/>
      <c r="DN265" s="86"/>
      <c r="DO265" s="86"/>
      <c r="DP265" s="86"/>
      <c r="DR265" s="63"/>
      <c r="DW265" s="54"/>
      <c r="DX265" s="54"/>
      <c r="DY265" s="63"/>
      <c r="DZ265" s="63"/>
      <c r="EA265" s="63"/>
      <c r="EB265" s="63"/>
      <c r="EC265" s="63"/>
      <c r="EE265" s="86"/>
      <c r="EF265" s="86"/>
      <c r="EG265" s="86"/>
      <c r="EI265" s="63"/>
      <c r="EN265" s="54"/>
      <c r="EQ265" s="86"/>
      <c r="ER265" s="86"/>
      <c r="EX265" s="54"/>
      <c r="FG265" s="86"/>
      <c r="FL265" s="45"/>
      <c r="FT265" s="63"/>
      <c r="FU265" s="54"/>
      <c r="FV265" s="54"/>
      <c r="FW265" s="54"/>
      <c r="FX265" s="86"/>
      <c r="FY265" s="86"/>
      <c r="FZ265" s="86"/>
      <c r="GA265" s="86"/>
      <c r="GB265" s="86"/>
      <c r="GD265" s="63"/>
      <c r="GE265" s="63"/>
      <c r="GF265" s="63"/>
      <c r="GG265" s="63"/>
      <c r="GH265" s="45"/>
      <c r="GI265" s="54"/>
      <c r="GJ265" s="54"/>
      <c r="GL265" s="86"/>
      <c r="GM265" s="86"/>
      <c r="GR265" s="86"/>
      <c r="GS265" s="86"/>
      <c r="GU265" s="63"/>
      <c r="GV265" s="63"/>
      <c r="GW265" s="63"/>
      <c r="GX265" s="63"/>
      <c r="GZ265" s="63"/>
      <c r="HA265" s="54"/>
      <c r="HD265" s="86"/>
      <c r="HI265" s="86"/>
      <c r="HJ265" s="86"/>
      <c r="HQ265" s="63"/>
      <c r="HR265" s="54"/>
      <c r="HU265" s="86"/>
      <c r="HZ265" s="86"/>
      <c r="IA265" s="86"/>
      <c r="IF265" s="54"/>
      <c r="IK265" s="86"/>
    </row>
    <row r="266" spans="1:245">
      <c r="A266" s="86">
        <v>236</v>
      </c>
      <c r="B266" s="117"/>
      <c r="C266" s="117"/>
      <c r="D266" s="117"/>
      <c r="E266" s="117"/>
      <c r="K266" s="117"/>
      <c r="L266" s="117"/>
      <c r="M266" s="117"/>
      <c r="N266" s="117"/>
      <c r="O266" s="117"/>
      <c r="P266" s="117"/>
      <c r="Q266" s="117"/>
      <c r="R266" s="117"/>
      <c r="S266" s="117"/>
      <c r="T266" s="117"/>
      <c r="U266" s="74"/>
      <c r="V266" s="74"/>
      <c r="W266" s="74"/>
      <c r="X266" s="74"/>
      <c r="Y266" s="74"/>
      <c r="Z266" s="74"/>
      <c r="AA266" s="74"/>
      <c r="AB266" s="74"/>
      <c r="AC266" s="117"/>
      <c r="AD266" s="117"/>
      <c r="AE266" s="117"/>
      <c r="AF266" s="117"/>
      <c r="AG266" s="117"/>
      <c r="AH266" s="117"/>
      <c r="AI266" s="117"/>
      <c r="AJ266" s="117"/>
      <c r="AK266" s="117"/>
      <c r="AL266" s="117"/>
      <c r="AM266" s="117"/>
      <c r="AN266" s="117"/>
      <c r="AO266" s="117"/>
      <c r="AP266" s="117"/>
      <c r="AQ266" s="117"/>
      <c r="AR266" s="300"/>
      <c r="AS266" s="300"/>
      <c r="AT266" s="86"/>
      <c r="AU266" s="162"/>
      <c r="AV266" s="162"/>
      <c r="AW266" s="162"/>
      <c r="AX266" s="162"/>
      <c r="AY266" s="162"/>
      <c r="BB266" s="45"/>
      <c r="BC266" s="45"/>
      <c r="BD266" s="117"/>
      <c r="BE266" s="117"/>
      <c r="BF266" s="99"/>
      <c r="BG266" s="99"/>
      <c r="BH266" s="74"/>
      <c r="BI266" s="117"/>
      <c r="BJ266" s="117"/>
      <c r="BK266" s="117"/>
      <c r="BL266" s="117"/>
      <c r="BM266" s="117"/>
      <c r="BN266" s="117"/>
      <c r="BO266" s="117"/>
      <c r="BP266" s="117"/>
      <c r="BQ266" s="117"/>
      <c r="BR266" s="117"/>
      <c r="BS266" s="117"/>
      <c r="BT266" s="117"/>
      <c r="BU266" s="117"/>
      <c r="BV266" s="117"/>
      <c r="BW266" s="117"/>
      <c r="BX266" s="102"/>
      <c r="BY266" s="102"/>
      <c r="CD266" s="102"/>
      <c r="CE266" s="102"/>
      <c r="CG266" s="86"/>
      <c r="CH266" s="86"/>
      <c r="CI266" s="86"/>
      <c r="CJ266" s="86"/>
      <c r="CL266" s="63"/>
      <c r="CM266" s="54"/>
      <c r="CN266" s="54"/>
      <c r="CO266" s="54"/>
      <c r="CP266" s="54"/>
      <c r="CQ266" s="86"/>
      <c r="CR266" s="63"/>
      <c r="CS266" s="63"/>
      <c r="CT266" s="63"/>
      <c r="CU266" s="63"/>
      <c r="CV266" s="86"/>
      <c r="CW266" s="86"/>
      <c r="CX266" s="86"/>
      <c r="DF266" s="54"/>
      <c r="DG266" s="54"/>
      <c r="DH266" s="63"/>
      <c r="DI266" s="63"/>
      <c r="DJ266" s="63"/>
      <c r="DK266" s="63"/>
      <c r="DL266" s="63"/>
      <c r="DN266" s="86"/>
      <c r="DO266" s="86"/>
      <c r="DP266" s="86"/>
      <c r="DR266" s="63"/>
      <c r="DW266" s="54"/>
      <c r="DX266" s="54"/>
      <c r="DY266" s="63"/>
      <c r="DZ266" s="63"/>
      <c r="EA266" s="63"/>
      <c r="EB266" s="63"/>
      <c r="EC266" s="63"/>
      <c r="EE266" s="86"/>
      <c r="EF266" s="86"/>
      <c r="EG266" s="86"/>
      <c r="EI266" s="63"/>
      <c r="EN266" s="54"/>
      <c r="EQ266" s="86"/>
      <c r="ER266" s="86"/>
      <c r="EX266" s="54"/>
      <c r="FG266" s="86"/>
      <c r="FL266" s="45"/>
      <c r="FT266" s="63"/>
      <c r="FU266" s="54"/>
      <c r="FV266" s="54"/>
      <c r="FW266" s="54"/>
      <c r="FX266" s="86"/>
      <c r="FY266" s="86"/>
      <c r="FZ266" s="86"/>
      <c r="GA266" s="86"/>
      <c r="GB266" s="86"/>
      <c r="GD266" s="63"/>
      <c r="GE266" s="63"/>
      <c r="GF266" s="63"/>
      <c r="GG266" s="63"/>
      <c r="GH266" s="45"/>
      <c r="GI266" s="54"/>
      <c r="GJ266" s="54"/>
      <c r="GL266" s="86"/>
      <c r="GM266" s="86"/>
      <c r="GR266" s="86"/>
      <c r="GS266" s="86"/>
      <c r="GU266" s="63"/>
      <c r="GV266" s="63"/>
      <c r="GW266" s="63"/>
      <c r="GX266" s="63"/>
      <c r="GZ266" s="63"/>
      <c r="HA266" s="54"/>
      <c r="HD266" s="86"/>
      <c r="HI266" s="86"/>
      <c r="HJ266" s="86"/>
      <c r="HQ266" s="63"/>
      <c r="HR266" s="54"/>
      <c r="HU266" s="86"/>
      <c r="HZ266" s="86"/>
      <c r="IA266" s="86"/>
      <c r="IF266" s="54"/>
      <c r="IK266" s="86"/>
    </row>
    <row r="267" spans="1:245">
      <c r="A267" s="86">
        <v>237</v>
      </c>
      <c r="B267" s="117"/>
      <c r="C267" s="117"/>
      <c r="D267" s="117"/>
      <c r="E267" s="117"/>
      <c r="K267" s="117"/>
      <c r="L267" s="117"/>
      <c r="M267" s="117"/>
      <c r="N267" s="117"/>
      <c r="O267" s="117"/>
      <c r="P267" s="117"/>
      <c r="Q267" s="117"/>
      <c r="R267" s="117"/>
      <c r="S267" s="117"/>
      <c r="T267" s="117"/>
      <c r="U267" s="74"/>
      <c r="V267" s="74"/>
      <c r="W267" s="74"/>
      <c r="X267" s="74"/>
      <c r="Y267" s="74"/>
      <c r="Z267" s="74"/>
      <c r="AA267" s="74"/>
      <c r="AB267" s="74"/>
      <c r="AC267" s="117"/>
      <c r="AD267" s="117"/>
      <c r="AE267" s="117"/>
      <c r="AF267" s="117"/>
      <c r="AG267" s="117"/>
      <c r="AH267" s="117"/>
      <c r="AI267" s="117"/>
      <c r="AJ267" s="117"/>
      <c r="AK267" s="117"/>
      <c r="AL267" s="117"/>
      <c r="AM267" s="117"/>
      <c r="AN267" s="117"/>
      <c r="AO267" s="117"/>
      <c r="AP267" s="117"/>
      <c r="AQ267" s="117"/>
      <c r="AR267" s="300"/>
      <c r="AS267" s="300"/>
      <c r="AT267" s="86"/>
      <c r="AU267" s="162"/>
      <c r="AV267" s="162"/>
      <c r="AW267" s="162"/>
      <c r="AX267" s="162"/>
      <c r="AY267" s="162"/>
      <c r="BB267" s="45"/>
      <c r="BC267" s="45"/>
      <c r="BD267" s="117"/>
      <c r="BE267" s="117"/>
      <c r="BF267" s="99"/>
      <c r="BG267" s="99"/>
      <c r="BH267" s="74"/>
      <c r="BI267" s="117"/>
      <c r="BJ267" s="117"/>
      <c r="BK267" s="117"/>
      <c r="BL267" s="117"/>
      <c r="BM267" s="117"/>
      <c r="BN267" s="117"/>
      <c r="BO267" s="117"/>
      <c r="BP267" s="117"/>
      <c r="BQ267" s="117"/>
      <c r="BR267" s="117"/>
      <c r="BS267" s="117"/>
      <c r="BT267" s="117"/>
      <c r="BU267" s="117"/>
      <c r="BV267" s="117"/>
      <c r="BW267" s="117"/>
      <c r="BX267" s="102"/>
      <c r="BY267" s="102"/>
      <c r="CD267" s="102"/>
      <c r="CE267" s="102"/>
      <c r="CG267" s="86"/>
      <c r="CH267" s="86"/>
      <c r="CI267" s="86"/>
      <c r="CJ267" s="86"/>
      <c r="CL267" s="63"/>
      <c r="CM267" s="54"/>
      <c r="CN267" s="54"/>
      <c r="CO267" s="54"/>
      <c r="CP267" s="54"/>
      <c r="CQ267" s="86"/>
      <c r="CR267" s="63"/>
      <c r="CS267" s="63"/>
      <c r="CT267" s="63"/>
      <c r="CU267" s="63"/>
      <c r="CV267" s="86"/>
      <c r="CW267" s="86"/>
      <c r="CX267" s="86"/>
      <c r="DF267" s="54"/>
      <c r="DG267" s="54"/>
      <c r="DH267" s="63"/>
      <c r="DI267" s="63"/>
      <c r="DJ267" s="63"/>
      <c r="DK267" s="63"/>
      <c r="DL267" s="63"/>
      <c r="DN267" s="86"/>
      <c r="DO267" s="86"/>
      <c r="DP267" s="86"/>
      <c r="DR267" s="63"/>
      <c r="DW267" s="54"/>
      <c r="DX267" s="54"/>
      <c r="DY267" s="63"/>
      <c r="DZ267" s="63"/>
      <c r="EA267" s="63"/>
      <c r="EB267" s="63"/>
      <c r="EC267" s="63"/>
      <c r="EE267" s="86"/>
      <c r="EF267" s="86"/>
      <c r="EG267" s="86"/>
      <c r="EI267" s="63"/>
      <c r="EN267" s="54"/>
      <c r="EQ267" s="86"/>
      <c r="ER267" s="86"/>
      <c r="EX267" s="54"/>
      <c r="FG267" s="86"/>
      <c r="FL267" s="45"/>
      <c r="FT267" s="63"/>
      <c r="FU267" s="54"/>
      <c r="FV267" s="54"/>
      <c r="FW267" s="54"/>
      <c r="FX267" s="86"/>
      <c r="FY267" s="86"/>
      <c r="FZ267" s="86"/>
      <c r="GA267" s="86"/>
      <c r="GB267" s="86"/>
      <c r="GD267" s="63"/>
      <c r="GE267" s="63"/>
      <c r="GF267" s="63"/>
      <c r="GG267" s="63"/>
      <c r="GH267" s="45"/>
      <c r="GI267" s="54"/>
      <c r="GJ267" s="54"/>
      <c r="GL267" s="86"/>
      <c r="GM267" s="86"/>
      <c r="GR267" s="86"/>
      <c r="GS267" s="86"/>
      <c r="GU267" s="63"/>
      <c r="GV267" s="63"/>
      <c r="GW267" s="63"/>
      <c r="GX267" s="63"/>
      <c r="GZ267" s="63"/>
      <c r="HA267" s="54"/>
      <c r="HD267" s="86"/>
      <c r="HI267" s="86"/>
      <c r="HJ267" s="86"/>
      <c r="HQ267" s="63"/>
      <c r="HR267" s="54"/>
      <c r="HU267" s="86"/>
      <c r="HZ267" s="86"/>
      <c r="IA267" s="86"/>
      <c r="IF267" s="54"/>
      <c r="IK267" s="86"/>
    </row>
    <row r="268" spans="1:245">
      <c r="A268" s="86">
        <v>238</v>
      </c>
      <c r="B268" s="117"/>
      <c r="C268" s="117"/>
      <c r="D268" s="117"/>
      <c r="E268" s="117"/>
      <c r="K268" s="117"/>
      <c r="L268" s="117"/>
      <c r="M268" s="117"/>
      <c r="N268" s="117"/>
      <c r="O268" s="117"/>
      <c r="P268" s="117"/>
      <c r="Q268" s="117"/>
      <c r="R268" s="117"/>
      <c r="S268" s="117"/>
      <c r="T268" s="117"/>
      <c r="U268" s="74"/>
      <c r="V268" s="74"/>
      <c r="W268" s="74"/>
      <c r="X268" s="74"/>
      <c r="Y268" s="74"/>
      <c r="Z268" s="74"/>
      <c r="AA268" s="74"/>
      <c r="AB268" s="74"/>
      <c r="AC268" s="117"/>
      <c r="AD268" s="117"/>
      <c r="AE268" s="117"/>
      <c r="AF268" s="117"/>
      <c r="AG268" s="117"/>
      <c r="AH268" s="117"/>
      <c r="AI268" s="117"/>
      <c r="AJ268" s="117"/>
      <c r="AK268" s="117"/>
      <c r="AL268" s="117"/>
      <c r="AM268" s="117"/>
      <c r="AN268" s="117"/>
      <c r="AO268" s="117"/>
      <c r="AP268" s="117"/>
      <c r="AQ268" s="117"/>
      <c r="AR268" s="300"/>
      <c r="AS268" s="300"/>
      <c r="AT268" s="86"/>
      <c r="AU268" s="162"/>
      <c r="AV268" s="162"/>
      <c r="AW268" s="162"/>
      <c r="AX268" s="162"/>
      <c r="AY268" s="162"/>
      <c r="BB268" s="45"/>
      <c r="BC268" s="45"/>
      <c r="BD268" s="117"/>
      <c r="BE268" s="117"/>
      <c r="BF268" s="99"/>
      <c r="BG268" s="99"/>
      <c r="BH268" s="74"/>
      <c r="BI268" s="117"/>
      <c r="BJ268" s="117"/>
      <c r="BK268" s="117"/>
      <c r="BL268" s="117"/>
      <c r="BM268" s="117"/>
      <c r="BN268" s="117"/>
      <c r="BO268" s="117"/>
      <c r="BP268" s="117"/>
      <c r="BQ268" s="117"/>
      <c r="BR268" s="117"/>
      <c r="BS268" s="117"/>
      <c r="BT268" s="117"/>
      <c r="BU268" s="117"/>
      <c r="BV268" s="117"/>
      <c r="BW268" s="117"/>
      <c r="BX268" s="102"/>
      <c r="BY268" s="102"/>
      <c r="CD268" s="102"/>
      <c r="CE268" s="102"/>
      <c r="CG268" s="86"/>
      <c r="CH268" s="86"/>
      <c r="CI268" s="86"/>
      <c r="CJ268" s="86"/>
      <c r="CL268" s="63"/>
      <c r="CM268" s="54"/>
      <c r="CN268" s="54"/>
      <c r="CO268" s="54"/>
      <c r="CP268" s="54"/>
      <c r="CQ268" s="86"/>
      <c r="CR268" s="63"/>
      <c r="CS268" s="63"/>
      <c r="CT268" s="63"/>
      <c r="CU268" s="63"/>
      <c r="CV268" s="86"/>
      <c r="CW268" s="86"/>
      <c r="CX268" s="86"/>
      <c r="DF268" s="54"/>
      <c r="DG268" s="54"/>
      <c r="DH268" s="63"/>
      <c r="DI268" s="63"/>
      <c r="DJ268" s="63"/>
      <c r="DK268" s="63"/>
      <c r="DL268" s="63"/>
      <c r="DN268" s="86"/>
      <c r="DO268" s="86"/>
      <c r="DP268" s="86"/>
      <c r="DR268" s="63"/>
      <c r="DW268" s="54"/>
      <c r="DX268" s="54"/>
      <c r="DY268" s="63"/>
      <c r="DZ268" s="63"/>
      <c r="EA268" s="63"/>
      <c r="EB268" s="63"/>
      <c r="EC268" s="63"/>
      <c r="EE268" s="86"/>
      <c r="EF268" s="86"/>
      <c r="EG268" s="86"/>
      <c r="EI268" s="63"/>
      <c r="EN268" s="54"/>
      <c r="EQ268" s="86"/>
      <c r="ER268" s="86"/>
      <c r="EX268" s="54"/>
      <c r="FG268" s="86"/>
      <c r="FL268" s="45"/>
      <c r="FT268" s="63"/>
      <c r="FU268" s="54"/>
      <c r="FV268" s="54"/>
      <c r="FW268" s="54"/>
      <c r="FX268" s="86"/>
      <c r="FY268" s="86"/>
      <c r="FZ268" s="86"/>
      <c r="GA268" s="86"/>
      <c r="GB268" s="86"/>
      <c r="GD268" s="63"/>
      <c r="GE268" s="63"/>
      <c r="GF268" s="63"/>
      <c r="GG268" s="63"/>
      <c r="GH268" s="45"/>
      <c r="GI268" s="54"/>
      <c r="GJ268" s="54"/>
      <c r="GL268" s="86"/>
      <c r="GM268" s="86"/>
      <c r="GR268" s="86"/>
      <c r="GS268" s="86"/>
      <c r="GU268" s="63"/>
      <c r="GV268" s="63"/>
      <c r="GW268" s="63"/>
      <c r="GX268" s="63"/>
      <c r="GZ268" s="63"/>
      <c r="HA268" s="54"/>
      <c r="HD268" s="86"/>
      <c r="HI268" s="86"/>
      <c r="HJ268" s="86"/>
      <c r="HQ268" s="63"/>
      <c r="HR268" s="54"/>
      <c r="HU268" s="86"/>
      <c r="HZ268" s="86"/>
      <c r="IA268" s="86"/>
      <c r="IF268" s="54"/>
      <c r="IK268" s="86"/>
    </row>
    <row r="269" spans="1:245">
      <c r="A269" s="86">
        <v>239</v>
      </c>
      <c r="B269" s="117"/>
      <c r="C269" s="117"/>
      <c r="D269" s="117"/>
      <c r="E269" s="117"/>
      <c r="K269" s="117"/>
      <c r="L269" s="117"/>
      <c r="M269" s="117"/>
      <c r="N269" s="117"/>
      <c r="O269" s="117"/>
      <c r="P269" s="117"/>
      <c r="Q269" s="117"/>
      <c r="R269" s="117"/>
      <c r="S269" s="117"/>
      <c r="T269" s="117"/>
      <c r="U269" s="74"/>
      <c r="V269" s="74"/>
      <c r="W269" s="74"/>
      <c r="X269" s="74"/>
      <c r="Y269" s="74"/>
      <c r="Z269" s="74"/>
      <c r="AA269" s="74"/>
      <c r="AB269" s="74"/>
      <c r="AC269" s="117"/>
      <c r="AD269" s="117"/>
      <c r="AE269" s="117"/>
      <c r="AF269" s="117"/>
      <c r="AG269" s="117"/>
      <c r="AH269" s="117"/>
      <c r="AI269" s="117"/>
      <c r="AJ269" s="117"/>
      <c r="AK269" s="117"/>
      <c r="AL269" s="117"/>
      <c r="AM269" s="117"/>
      <c r="AN269" s="117"/>
      <c r="AO269" s="117"/>
      <c r="AP269" s="117"/>
      <c r="AQ269" s="117"/>
      <c r="AR269" s="300"/>
      <c r="AS269" s="300"/>
      <c r="AT269" s="86"/>
      <c r="AU269" s="162"/>
      <c r="AV269" s="162"/>
      <c r="AW269" s="162"/>
      <c r="AX269" s="162"/>
      <c r="AY269" s="162"/>
      <c r="BB269" s="45"/>
      <c r="BC269" s="45"/>
      <c r="BD269" s="117"/>
      <c r="BE269" s="117"/>
      <c r="BF269" s="99"/>
      <c r="BG269" s="99"/>
      <c r="BH269" s="74"/>
      <c r="BI269" s="117"/>
      <c r="BJ269" s="117"/>
      <c r="BK269" s="117"/>
      <c r="BL269" s="117"/>
      <c r="BM269" s="117"/>
      <c r="BN269" s="117"/>
      <c r="BO269" s="117"/>
      <c r="BP269" s="117"/>
      <c r="BQ269" s="117"/>
      <c r="BR269" s="117"/>
      <c r="BS269" s="117"/>
      <c r="BT269" s="117"/>
      <c r="BU269" s="117"/>
      <c r="BV269" s="117"/>
      <c r="BW269" s="117"/>
      <c r="BX269" s="102"/>
      <c r="BY269" s="102"/>
      <c r="CD269" s="102"/>
      <c r="CE269" s="102"/>
      <c r="CG269" s="86"/>
      <c r="CH269" s="86"/>
      <c r="CI269" s="86"/>
      <c r="CJ269" s="86"/>
      <c r="CL269" s="63"/>
      <c r="CM269" s="54"/>
      <c r="CN269" s="54"/>
      <c r="CO269" s="54"/>
      <c r="CP269" s="54"/>
      <c r="CQ269" s="86"/>
      <c r="CR269" s="63"/>
      <c r="CS269" s="63"/>
      <c r="CT269" s="63"/>
      <c r="CU269" s="63"/>
      <c r="CV269" s="86"/>
      <c r="CW269" s="86"/>
      <c r="CX269" s="86"/>
      <c r="DF269" s="54"/>
      <c r="DG269" s="54"/>
      <c r="DH269" s="63"/>
      <c r="DI269" s="63"/>
      <c r="DJ269" s="63"/>
      <c r="DK269" s="63"/>
      <c r="DL269" s="63"/>
      <c r="DN269" s="86"/>
      <c r="DO269" s="86"/>
      <c r="DP269" s="86"/>
      <c r="DR269" s="63"/>
      <c r="DW269" s="54"/>
      <c r="DX269" s="54"/>
      <c r="DY269" s="63"/>
      <c r="DZ269" s="63"/>
      <c r="EA269" s="63"/>
      <c r="EB269" s="63"/>
      <c r="EC269" s="63"/>
      <c r="EE269" s="86"/>
      <c r="EF269" s="86"/>
      <c r="EG269" s="86"/>
      <c r="EI269" s="63"/>
      <c r="EN269" s="54"/>
      <c r="EQ269" s="86"/>
      <c r="ER269" s="86"/>
      <c r="EX269" s="54"/>
      <c r="FG269" s="86"/>
      <c r="FL269" s="45"/>
      <c r="FT269" s="63"/>
      <c r="FU269" s="54"/>
      <c r="FV269" s="54"/>
      <c r="FW269" s="54"/>
      <c r="FX269" s="86"/>
      <c r="FY269" s="86"/>
      <c r="FZ269" s="86"/>
      <c r="GA269" s="86"/>
      <c r="GB269" s="86"/>
      <c r="GD269" s="63"/>
      <c r="GE269" s="63"/>
      <c r="GF269" s="63"/>
      <c r="GG269" s="63"/>
      <c r="GH269" s="45"/>
      <c r="GI269" s="54"/>
      <c r="GJ269" s="54"/>
      <c r="GL269" s="86"/>
      <c r="GM269" s="86"/>
      <c r="GR269" s="86"/>
      <c r="GS269" s="86"/>
      <c r="GU269" s="63"/>
      <c r="GV269" s="63"/>
      <c r="GW269" s="63"/>
      <c r="GX269" s="63"/>
      <c r="GZ269" s="63"/>
      <c r="HA269" s="54"/>
      <c r="HD269" s="86"/>
      <c r="HI269" s="86"/>
      <c r="HJ269" s="86"/>
      <c r="HQ269" s="63"/>
      <c r="HR269" s="54"/>
      <c r="HU269" s="86"/>
      <c r="HZ269" s="86"/>
      <c r="IA269" s="86"/>
      <c r="IF269" s="54"/>
      <c r="IK269" s="86"/>
    </row>
    <row r="270" spans="1:245">
      <c r="A270" s="86">
        <v>240</v>
      </c>
      <c r="B270" s="117"/>
      <c r="C270" s="117"/>
      <c r="D270" s="117"/>
      <c r="E270" s="117"/>
      <c r="K270" s="117"/>
      <c r="L270" s="117"/>
      <c r="M270" s="117"/>
      <c r="N270" s="117"/>
      <c r="O270" s="117"/>
      <c r="P270" s="117"/>
      <c r="Q270" s="117"/>
      <c r="R270" s="117"/>
      <c r="S270" s="117"/>
      <c r="T270" s="117"/>
      <c r="U270" s="74"/>
      <c r="V270" s="74"/>
      <c r="W270" s="74"/>
      <c r="X270" s="74"/>
      <c r="Y270" s="74"/>
      <c r="Z270" s="74"/>
      <c r="AA270" s="74"/>
      <c r="AB270" s="74"/>
      <c r="AC270" s="117"/>
      <c r="AD270" s="117"/>
      <c r="AE270" s="117"/>
      <c r="AF270" s="117"/>
      <c r="AG270" s="117"/>
      <c r="AH270" s="117"/>
      <c r="AI270" s="117"/>
      <c r="AJ270" s="117"/>
      <c r="AK270" s="117"/>
      <c r="AL270" s="117"/>
      <c r="AM270" s="117"/>
      <c r="AN270" s="117"/>
      <c r="AO270" s="117"/>
      <c r="AP270" s="117"/>
      <c r="AQ270" s="117"/>
      <c r="AR270" s="300"/>
      <c r="AS270" s="300"/>
      <c r="AT270" s="86"/>
      <c r="AU270" s="162"/>
      <c r="AV270" s="162"/>
      <c r="AW270" s="162"/>
      <c r="AX270" s="162"/>
      <c r="AY270" s="162"/>
      <c r="BB270" s="45"/>
      <c r="BC270" s="45"/>
      <c r="BD270" s="117"/>
      <c r="BE270" s="117"/>
      <c r="BF270" s="99"/>
      <c r="BG270" s="99"/>
      <c r="BH270" s="74"/>
      <c r="BI270" s="117"/>
      <c r="BJ270" s="117"/>
      <c r="BK270" s="117"/>
      <c r="BL270" s="117"/>
      <c r="BM270" s="117"/>
      <c r="BN270" s="117"/>
      <c r="BO270" s="117"/>
      <c r="BP270" s="117"/>
      <c r="BQ270" s="117"/>
      <c r="BR270" s="117"/>
      <c r="BS270" s="117"/>
      <c r="BT270" s="117"/>
      <c r="BU270" s="117"/>
      <c r="BV270" s="117"/>
      <c r="BW270" s="117"/>
      <c r="BX270" s="102"/>
      <c r="BY270" s="102"/>
      <c r="CD270" s="102"/>
      <c r="CE270" s="102"/>
      <c r="CG270" s="86"/>
      <c r="CH270" s="86"/>
      <c r="CI270" s="86"/>
      <c r="CJ270" s="86"/>
      <c r="CL270" s="63"/>
      <c r="CM270" s="54"/>
      <c r="CN270" s="54"/>
      <c r="CO270" s="54"/>
      <c r="CP270" s="54"/>
      <c r="CQ270" s="86"/>
      <c r="CR270" s="63"/>
      <c r="CS270" s="63"/>
      <c r="CT270" s="63"/>
      <c r="CU270" s="63"/>
      <c r="CV270" s="86"/>
      <c r="CW270" s="86"/>
      <c r="CX270" s="86"/>
      <c r="DF270" s="54"/>
      <c r="DG270" s="54"/>
      <c r="DH270" s="63"/>
      <c r="DI270" s="63"/>
      <c r="DJ270" s="63"/>
      <c r="DK270" s="63"/>
      <c r="DL270" s="63"/>
      <c r="DN270" s="86"/>
      <c r="DO270" s="86"/>
      <c r="DP270" s="86"/>
      <c r="DR270" s="63"/>
      <c r="DW270" s="54"/>
      <c r="DX270" s="54"/>
      <c r="DY270" s="63"/>
      <c r="DZ270" s="63"/>
      <c r="EA270" s="63"/>
      <c r="EB270" s="63"/>
      <c r="EC270" s="63"/>
      <c r="EE270" s="86"/>
      <c r="EF270" s="86"/>
      <c r="EG270" s="86"/>
      <c r="EI270" s="63"/>
      <c r="EN270" s="54"/>
      <c r="EQ270" s="86"/>
      <c r="ER270" s="86"/>
      <c r="EX270" s="54"/>
      <c r="FG270" s="86"/>
      <c r="FL270" s="45"/>
      <c r="FT270" s="63"/>
      <c r="FU270" s="54"/>
      <c r="FV270" s="54"/>
      <c r="FW270" s="54"/>
      <c r="FX270" s="86"/>
      <c r="FY270" s="86"/>
      <c r="FZ270" s="86"/>
      <c r="GA270" s="86"/>
      <c r="GB270" s="86"/>
      <c r="GD270" s="63"/>
      <c r="GE270" s="63"/>
      <c r="GF270" s="63"/>
      <c r="GG270" s="63"/>
      <c r="GH270" s="45"/>
      <c r="GI270" s="54"/>
      <c r="GJ270" s="54"/>
      <c r="GL270" s="86"/>
      <c r="GM270" s="86"/>
      <c r="GR270" s="86"/>
      <c r="GS270" s="86"/>
      <c r="GU270" s="63"/>
      <c r="GV270" s="63"/>
      <c r="GW270" s="63"/>
      <c r="GX270" s="63"/>
      <c r="GZ270" s="63"/>
      <c r="HA270" s="54"/>
      <c r="HD270" s="86"/>
      <c r="HI270" s="86"/>
      <c r="HJ270" s="86"/>
      <c r="HQ270" s="63"/>
      <c r="HR270" s="54"/>
      <c r="HU270" s="86"/>
      <c r="HZ270" s="86"/>
      <c r="IA270" s="86"/>
      <c r="IF270" s="54"/>
      <c r="IK270" s="86"/>
    </row>
    <row r="271" spans="1:245">
      <c r="A271" s="86">
        <v>241</v>
      </c>
      <c r="B271" s="117"/>
      <c r="C271" s="117"/>
      <c r="D271" s="117"/>
      <c r="E271" s="117"/>
      <c r="K271" s="117"/>
      <c r="L271" s="117"/>
      <c r="M271" s="117"/>
      <c r="N271" s="117"/>
      <c r="O271" s="117"/>
      <c r="P271" s="117"/>
      <c r="Q271" s="117"/>
      <c r="R271" s="117"/>
      <c r="S271" s="117"/>
      <c r="T271" s="117"/>
      <c r="U271" s="74"/>
      <c r="V271" s="74"/>
      <c r="W271" s="74"/>
      <c r="X271" s="74"/>
      <c r="Y271" s="74"/>
      <c r="Z271" s="74"/>
      <c r="AA271" s="74"/>
      <c r="AB271" s="74"/>
      <c r="AC271" s="117"/>
      <c r="AD271" s="117"/>
      <c r="AE271" s="117"/>
      <c r="AF271" s="117"/>
      <c r="AG271" s="117"/>
      <c r="AH271" s="117"/>
      <c r="AI271" s="117"/>
      <c r="AJ271" s="117"/>
      <c r="AK271" s="117"/>
      <c r="AL271" s="117"/>
      <c r="AM271" s="117"/>
      <c r="AN271" s="117"/>
      <c r="AO271" s="117"/>
      <c r="AP271" s="117"/>
      <c r="AQ271" s="117"/>
      <c r="AR271" s="300"/>
      <c r="AS271" s="300"/>
      <c r="AT271" s="86"/>
      <c r="AU271" s="162"/>
      <c r="AV271" s="162"/>
      <c r="AW271" s="162"/>
      <c r="AX271" s="162"/>
      <c r="AY271" s="162"/>
      <c r="BB271" s="45"/>
      <c r="BC271" s="45"/>
      <c r="BD271" s="117"/>
      <c r="BE271" s="117"/>
      <c r="BF271" s="99"/>
      <c r="BG271" s="99"/>
      <c r="BH271" s="74"/>
      <c r="BI271" s="117"/>
      <c r="BJ271" s="117"/>
      <c r="BK271" s="117"/>
      <c r="BL271" s="117"/>
      <c r="BM271" s="117"/>
      <c r="BN271" s="117"/>
      <c r="BO271" s="117"/>
      <c r="BP271" s="117"/>
      <c r="BQ271" s="117"/>
      <c r="BR271" s="117"/>
      <c r="BS271" s="117"/>
      <c r="BT271" s="117"/>
      <c r="BU271" s="117"/>
      <c r="BV271" s="117"/>
      <c r="BW271" s="117"/>
      <c r="BX271" s="102"/>
      <c r="BY271" s="102"/>
      <c r="CD271" s="102"/>
      <c r="CE271" s="102"/>
      <c r="CG271" s="86"/>
      <c r="CH271" s="86"/>
      <c r="CI271" s="86"/>
      <c r="CJ271" s="86"/>
      <c r="CL271" s="63"/>
      <c r="CM271" s="54"/>
      <c r="CN271" s="54"/>
      <c r="CO271" s="54"/>
      <c r="CP271" s="54"/>
      <c r="CQ271" s="86"/>
      <c r="CR271" s="63"/>
      <c r="CS271" s="63"/>
      <c r="CT271" s="63"/>
      <c r="CU271" s="63"/>
      <c r="CV271" s="86"/>
      <c r="CW271" s="86"/>
      <c r="CX271" s="86"/>
      <c r="DF271" s="54"/>
      <c r="DG271" s="54"/>
      <c r="DH271" s="63"/>
      <c r="DI271" s="63"/>
      <c r="DJ271" s="63"/>
      <c r="DK271" s="63"/>
      <c r="DL271" s="63"/>
      <c r="DN271" s="86"/>
      <c r="DO271" s="86"/>
      <c r="DP271" s="86"/>
      <c r="DR271" s="63"/>
      <c r="DW271" s="54"/>
      <c r="DX271" s="54"/>
      <c r="DY271" s="63"/>
      <c r="DZ271" s="63"/>
      <c r="EA271" s="63"/>
      <c r="EB271" s="63"/>
      <c r="EC271" s="63"/>
      <c r="EE271" s="86"/>
      <c r="EF271" s="86"/>
      <c r="EG271" s="86"/>
      <c r="EI271" s="63"/>
      <c r="EN271" s="54"/>
      <c r="EQ271" s="86"/>
      <c r="ER271" s="86"/>
      <c r="EX271" s="54"/>
      <c r="FG271" s="86"/>
      <c r="FL271" s="45"/>
      <c r="FT271" s="63"/>
      <c r="FU271" s="54"/>
      <c r="FV271" s="54"/>
      <c r="FW271" s="54"/>
      <c r="FX271" s="86"/>
      <c r="FY271" s="86"/>
      <c r="FZ271" s="86"/>
      <c r="GA271" s="86"/>
      <c r="GB271" s="86"/>
      <c r="GD271" s="63"/>
      <c r="GE271" s="63"/>
      <c r="GF271" s="63"/>
      <c r="GG271" s="63"/>
      <c r="GH271" s="45"/>
      <c r="GI271" s="54"/>
      <c r="GJ271" s="54"/>
      <c r="GL271" s="86"/>
      <c r="GM271" s="86"/>
      <c r="GR271" s="86"/>
      <c r="GS271" s="86"/>
      <c r="GU271" s="63"/>
      <c r="GV271" s="63"/>
      <c r="GW271" s="63"/>
      <c r="GX271" s="63"/>
      <c r="GZ271" s="63"/>
      <c r="HA271" s="54"/>
      <c r="HD271" s="86"/>
      <c r="HI271" s="86"/>
      <c r="HJ271" s="86"/>
      <c r="HQ271" s="63"/>
      <c r="HR271" s="54"/>
      <c r="HU271" s="86"/>
      <c r="HZ271" s="86"/>
      <c r="IA271" s="86"/>
      <c r="IF271" s="54"/>
      <c r="IK271" s="86"/>
    </row>
    <row r="272" spans="1:245">
      <c r="A272" s="86">
        <v>242</v>
      </c>
      <c r="B272" s="117"/>
      <c r="C272" s="117"/>
      <c r="D272" s="117"/>
      <c r="E272" s="117"/>
      <c r="K272" s="117"/>
      <c r="L272" s="117"/>
      <c r="M272" s="117"/>
      <c r="N272" s="117"/>
      <c r="O272" s="117"/>
      <c r="P272" s="117"/>
      <c r="Q272" s="117"/>
      <c r="R272" s="117"/>
      <c r="S272" s="117"/>
      <c r="T272" s="117"/>
      <c r="U272" s="74"/>
      <c r="V272" s="74"/>
      <c r="W272" s="74"/>
      <c r="X272" s="74"/>
      <c r="Y272" s="74"/>
      <c r="Z272" s="74"/>
      <c r="AA272" s="74"/>
      <c r="AB272" s="74"/>
      <c r="AC272" s="117"/>
      <c r="AD272" s="117"/>
      <c r="AE272" s="117"/>
      <c r="AF272" s="117"/>
      <c r="AG272" s="117"/>
      <c r="AH272" s="117"/>
      <c r="AI272" s="117"/>
      <c r="AJ272" s="117"/>
      <c r="AK272" s="117"/>
      <c r="AL272" s="117"/>
      <c r="AM272" s="117"/>
      <c r="AN272" s="117"/>
      <c r="AO272" s="117"/>
      <c r="AP272" s="117"/>
      <c r="AQ272" s="117"/>
      <c r="AR272" s="300"/>
      <c r="AS272" s="300"/>
      <c r="AT272" s="86"/>
      <c r="AU272" s="162"/>
      <c r="AV272" s="162"/>
      <c r="AW272" s="162"/>
      <c r="AX272" s="162"/>
      <c r="AY272" s="162"/>
      <c r="BB272" s="45"/>
      <c r="BC272" s="45"/>
      <c r="BD272" s="117"/>
      <c r="BE272" s="117"/>
      <c r="BF272" s="99"/>
      <c r="BG272" s="99"/>
      <c r="BH272" s="74"/>
      <c r="BI272" s="117"/>
      <c r="BJ272" s="117"/>
      <c r="BK272" s="117"/>
      <c r="BL272" s="117"/>
      <c r="BM272" s="117"/>
      <c r="BN272" s="117"/>
      <c r="BO272" s="117"/>
      <c r="BP272" s="117"/>
      <c r="BQ272" s="117"/>
      <c r="BR272" s="117"/>
      <c r="BS272" s="117"/>
      <c r="BT272" s="117"/>
      <c r="BU272" s="117"/>
      <c r="BV272" s="117"/>
      <c r="BW272" s="117"/>
      <c r="BX272" s="102"/>
      <c r="BY272" s="102"/>
      <c r="CD272" s="102"/>
      <c r="CE272" s="102"/>
      <c r="CG272" s="86"/>
      <c r="CH272" s="86"/>
      <c r="CI272" s="86"/>
      <c r="CJ272" s="86"/>
      <c r="CL272" s="63"/>
      <c r="CM272" s="54"/>
      <c r="CN272" s="54"/>
      <c r="CO272" s="54"/>
      <c r="CP272" s="54"/>
      <c r="CQ272" s="86"/>
      <c r="CR272" s="63"/>
      <c r="CS272" s="63"/>
      <c r="CT272" s="63"/>
      <c r="CU272" s="63"/>
      <c r="CV272" s="86"/>
      <c r="CW272" s="86"/>
      <c r="CX272" s="86"/>
      <c r="DF272" s="54"/>
      <c r="DG272" s="54"/>
      <c r="DH272" s="63"/>
      <c r="DI272" s="63"/>
      <c r="DJ272" s="63"/>
      <c r="DK272" s="63"/>
      <c r="DL272" s="63"/>
      <c r="DN272" s="86"/>
      <c r="DO272" s="86"/>
      <c r="DP272" s="86"/>
      <c r="DR272" s="63"/>
      <c r="DW272" s="54"/>
      <c r="DX272" s="54"/>
      <c r="DY272" s="63"/>
      <c r="DZ272" s="63"/>
      <c r="EA272" s="63"/>
      <c r="EB272" s="63"/>
      <c r="EC272" s="63"/>
      <c r="EE272" s="86"/>
      <c r="EF272" s="86"/>
      <c r="EG272" s="86"/>
      <c r="EI272" s="63"/>
      <c r="EN272" s="54"/>
      <c r="EQ272" s="86"/>
      <c r="ER272" s="86"/>
      <c r="EX272" s="54"/>
      <c r="FG272" s="86"/>
      <c r="FL272" s="45"/>
      <c r="FT272" s="63"/>
      <c r="FU272" s="54"/>
      <c r="FV272" s="54"/>
      <c r="FW272" s="54"/>
      <c r="FX272" s="86"/>
      <c r="FY272" s="86"/>
      <c r="FZ272" s="86"/>
      <c r="GA272" s="86"/>
      <c r="GB272" s="86"/>
      <c r="GD272" s="63"/>
      <c r="GE272" s="63"/>
      <c r="GF272" s="63"/>
      <c r="GG272" s="63"/>
      <c r="GH272" s="45"/>
      <c r="GI272" s="54"/>
      <c r="GJ272" s="54"/>
      <c r="GL272" s="86"/>
      <c r="GM272" s="86"/>
      <c r="GR272" s="86"/>
      <c r="GS272" s="86"/>
      <c r="GU272" s="63"/>
      <c r="GV272" s="63"/>
      <c r="GW272" s="63"/>
      <c r="GX272" s="63"/>
      <c r="GZ272" s="63"/>
      <c r="HA272" s="54"/>
      <c r="HD272" s="86"/>
      <c r="HI272" s="86"/>
      <c r="HJ272" s="86"/>
      <c r="HQ272" s="63"/>
      <c r="HR272" s="54"/>
      <c r="HU272" s="86"/>
      <c r="HZ272" s="86"/>
      <c r="IA272" s="86"/>
      <c r="IF272" s="54"/>
      <c r="IK272" s="86"/>
    </row>
    <row r="273" spans="1:245">
      <c r="A273" s="86">
        <v>243</v>
      </c>
      <c r="B273" s="117"/>
      <c r="C273" s="117"/>
      <c r="D273" s="117"/>
      <c r="E273" s="117"/>
      <c r="K273" s="117"/>
      <c r="L273" s="117"/>
      <c r="M273" s="117"/>
      <c r="N273" s="117"/>
      <c r="O273" s="117"/>
      <c r="P273" s="117"/>
      <c r="Q273" s="117"/>
      <c r="R273" s="117"/>
      <c r="S273" s="117"/>
      <c r="T273" s="117"/>
      <c r="U273" s="74"/>
      <c r="V273" s="74"/>
      <c r="W273" s="74"/>
      <c r="X273" s="74"/>
      <c r="Y273" s="74"/>
      <c r="Z273" s="74"/>
      <c r="AA273" s="74"/>
      <c r="AB273" s="74"/>
      <c r="AC273" s="117"/>
      <c r="AD273" s="117"/>
      <c r="AE273" s="117"/>
      <c r="AF273" s="117"/>
      <c r="AG273" s="117"/>
      <c r="AH273" s="117"/>
      <c r="AI273" s="117"/>
      <c r="AJ273" s="117"/>
      <c r="AK273" s="117"/>
      <c r="AL273" s="117"/>
      <c r="AM273" s="117"/>
      <c r="AN273" s="117"/>
      <c r="AO273" s="117"/>
      <c r="AP273" s="117"/>
      <c r="AQ273" s="117"/>
      <c r="AR273" s="300"/>
      <c r="AS273" s="300"/>
      <c r="AT273" s="86"/>
      <c r="AU273" s="162"/>
      <c r="AV273" s="162"/>
      <c r="AW273" s="162"/>
      <c r="AX273" s="162"/>
      <c r="AY273" s="162"/>
      <c r="BB273" s="45"/>
      <c r="BC273" s="45"/>
      <c r="BD273" s="117"/>
      <c r="BE273" s="117"/>
      <c r="BF273" s="99"/>
      <c r="BG273" s="99"/>
      <c r="BH273" s="74"/>
      <c r="BI273" s="117"/>
      <c r="BJ273" s="117"/>
      <c r="BK273" s="117"/>
      <c r="BL273" s="117"/>
      <c r="BM273" s="117"/>
      <c r="BN273" s="117"/>
      <c r="BO273" s="117"/>
      <c r="BP273" s="117"/>
      <c r="BQ273" s="117"/>
      <c r="BR273" s="117"/>
      <c r="BS273" s="117"/>
      <c r="BT273" s="117"/>
      <c r="BU273" s="117"/>
      <c r="BV273" s="117"/>
      <c r="BW273" s="117"/>
      <c r="BX273" s="102"/>
      <c r="BY273" s="102"/>
      <c r="CD273" s="102"/>
      <c r="CE273" s="102"/>
      <c r="CG273" s="86"/>
      <c r="CH273" s="86"/>
      <c r="CI273" s="86"/>
      <c r="CJ273" s="86"/>
      <c r="CL273" s="63"/>
      <c r="CM273" s="54"/>
      <c r="CN273" s="54"/>
      <c r="CO273" s="54"/>
      <c r="CP273" s="54"/>
      <c r="CQ273" s="86"/>
      <c r="CR273" s="63"/>
      <c r="CS273" s="63"/>
      <c r="CT273" s="63"/>
      <c r="CU273" s="63"/>
      <c r="CV273" s="86"/>
      <c r="CW273" s="86"/>
      <c r="CX273" s="86"/>
      <c r="DF273" s="54"/>
      <c r="DG273" s="54"/>
      <c r="DH273" s="63"/>
      <c r="DI273" s="63"/>
      <c r="DJ273" s="63"/>
      <c r="DK273" s="63"/>
      <c r="DL273" s="63"/>
      <c r="DN273" s="86"/>
      <c r="DO273" s="86"/>
      <c r="DP273" s="86"/>
      <c r="DR273" s="63"/>
      <c r="DW273" s="54"/>
      <c r="DX273" s="54"/>
      <c r="DY273" s="63"/>
      <c r="DZ273" s="63"/>
      <c r="EA273" s="63"/>
      <c r="EB273" s="63"/>
      <c r="EC273" s="63"/>
      <c r="EE273" s="86"/>
      <c r="EF273" s="86"/>
      <c r="EG273" s="86"/>
      <c r="EI273" s="63"/>
      <c r="EN273" s="54"/>
      <c r="EQ273" s="86"/>
      <c r="ER273" s="86"/>
      <c r="EX273" s="54"/>
      <c r="FG273" s="86"/>
      <c r="FL273" s="45"/>
      <c r="FT273" s="63"/>
      <c r="FU273" s="54"/>
      <c r="FV273" s="54"/>
      <c r="FW273" s="54"/>
      <c r="FX273" s="86"/>
      <c r="FY273" s="86"/>
      <c r="FZ273" s="86"/>
      <c r="GA273" s="86"/>
      <c r="GB273" s="86"/>
      <c r="GD273" s="63"/>
      <c r="GE273" s="63"/>
      <c r="GF273" s="63"/>
      <c r="GG273" s="63"/>
      <c r="GH273" s="45"/>
      <c r="GI273" s="54"/>
      <c r="GJ273" s="54"/>
      <c r="GL273" s="86"/>
      <c r="GM273" s="86"/>
      <c r="GR273" s="86"/>
      <c r="GS273" s="86"/>
      <c r="GU273" s="63"/>
      <c r="GV273" s="63"/>
      <c r="GW273" s="63"/>
      <c r="GX273" s="63"/>
      <c r="GZ273" s="63"/>
      <c r="HA273" s="54"/>
      <c r="HD273" s="86"/>
      <c r="HI273" s="86"/>
      <c r="HJ273" s="86"/>
      <c r="HQ273" s="63"/>
      <c r="HR273" s="54"/>
      <c r="HU273" s="86"/>
      <c r="HZ273" s="86"/>
      <c r="IA273" s="86"/>
      <c r="IF273" s="54"/>
      <c r="IK273" s="86"/>
    </row>
    <row r="274" spans="1:245">
      <c r="A274" s="86">
        <v>244</v>
      </c>
      <c r="B274" s="117"/>
      <c r="C274" s="117"/>
      <c r="D274" s="117"/>
      <c r="E274" s="117"/>
      <c r="K274" s="117"/>
      <c r="L274" s="117"/>
      <c r="M274" s="117"/>
      <c r="N274" s="117"/>
      <c r="O274" s="117"/>
      <c r="P274" s="117"/>
      <c r="Q274" s="117"/>
      <c r="R274" s="117"/>
      <c r="S274" s="117"/>
      <c r="T274" s="117"/>
      <c r="U274" s="117"/>
      <c r="V274" s="74"/>
      <c r="W274" s="74"/>
      <c r="X274" s="74"/>
      <c r="Y274" s="74"/>
      <c r="Z274" s="74"/>
      <c r="AA274" s="74"/>
      <c r="AB274" s="74"/>
      <c r="AC274" s="74"/>
      <c r="AD274" s="117"/>
      <c r="AE274" s="117"/>
      <c r="AF274" s="117"/>
      <c r="AG274" s="117"/>
      <c r="AH274" s="117"/>
      <c r="AI274" s="117"/>
      <c r="AJ274" s="117"/>
      <c r="AK274" s="117"/>
      <c r="AL274" s="117"/>
      <c r="AM274" s="117"/>
      <c r="AN274" s="117"/>
      <c r="AO274" s="117"/>
      <c r="AP274" s="117"/>
      <c r="AQ274" s="117"/>
      <c r="AR274" s="117"/>
      <c r="AS274" s="300"/>
      <c r="AT274" s="300"/>
      <c r="AU274" s="86"/>
      <c r="AV274" s="162"/>
      <c r="AW274" s="162"/>
      <c r="AX274" s="162"/>
      <c r="AY274" s="162"/>
      <c r="BC274" s="45"/>
      <c r="BD274" s="45"/>
      <c r="BE274" s="45"/>
      <c r="BF274" s="117"/>
      <c r="BG274" s="99"/>
      <c r="BH274" s="99"/>
      <c r="BI274" s="74"/>
      <c r="BJ274" s="117"/>
      <c r="BK274" s="117"/>
      <c r="BL274" s="117"/>
      <c r="BM274" s="117"/>
      <c r="BN274" s="117"/>
      <c r="BO274" s="117"/>
      <c r="BP274" s="117"/>
      <c r="BQ274" s="117"/>
      <c r="BR274" s="117"/>
      <c r="BS274" s="117"/>
      <c r="BT274" s="117"/>
      <c r="BU274" s="117"/>
      <c r="BV274" s="117"/>
      <c r="BW274" s="117"/>
      <c r="BX274" s="117"/>
      <c r="BY274" s="102"/>
      <c r="BZ274" s="102"/>
      <c r="CB274" s="86"/>
      <c r="CD274" s="102"/>
      <c r="CE274" s="102"/>
      <c r="CH274" s="86"/>
      <c r="CI274" s="86"/>
      <c r="CJ274" s="86"/>
      <c r="CM274" s="63"/>
      <c r="CN274" s="54"/>
      <c r="CO274" s="54"/>
      <c r="CP274" s="54"/>
      <c r="CQ274" s="54"/>
      <c r="CR274" s="54"/>
      <c r="CS274" s="54"/>
      <c r="CT274" s="54"/>
      <c r="CU274" s="54"/>
      <c r="CV274" s="86"/>
      <c r="CW274" s="86"/>
      <c r="CX274" s="86"/>
      <c r="DG274" s="54"/>
      <c r="DH274" s="54"/>
      <c r="DI274" s="54"/>
      <c r="DJ274" s="54"/>
      <c r="DK274" s="54"/>
      <c r="DL274" s="54"/>
      <c r="DM274" s="341"/>
      <c r="DN274" s="86"/>
      <c r="DO274" s="86"/>
      <c r="DP274" s="86"/>
      <c r="DX274" s="54"/>
      <c r="DY274" s="54"/>
      <c r="DZ274" s="54"/>
      <c r="EA274" s="54"/>
      <c r="EB274" s="54"/>
      <c r="EC274" s="54"/>
      <c r="ED274" s="63"/>
      <c r="EE274" s="86"/>
      <c r="EF274" s="86"/>
      <c r="EG274" s="86"/>
      <c r="EN274" s="63"/>
      <c r="EO274" s="54"/>
      <c r="EQ274" s="86"/>
      <c r="ER274" s="86"/>
      <c r="EY274" s="54"/>
      <c r="FG274" s="86"/>
      <c r="FM274" s="45"/>
      <c r="FT274" s="86"/>
      <c r="FU274" s="63"/>
      <c r="FV274" s="54"/>
      <c r="FW274" s="54"/>
      <c r="FX274" s="54"/>
      <c r="FY274" s="86"/>
      <c r="FZ274" s="86"/>
      <c r="GA274" s="86"/>
      <c r="GB274" s="86"/>
      <c r="GD274" s="54"/>
      <c r="GE274" s="54"/>
      <c r="GF274" s="54"/>
      <c r="GG274" s="54"/>
      <c r="GI274" s="45"/>
      <c r="GJ274" s="54"/>
      <c r="GK274" s="54"/>
      <c r="GL274" s="86"/>
      <c r="GM274" s="86"/>
      <c r="GR274" s="86"/>
      <c r="GS274" s="86"/>
      <c r="GU274" s="54"/>
      <c r="GV274" s="54"/>
      <c r="GW274" s="54"/>
      <c r="GX274" s="54"/>
      <c r="HA274" s="63"/>
      <c r="HB274" s="54"/>
      <c r="HD274" s="86"/>
      <c r="HI274" s="86"/>
      <c r="HJ274" s="86"/>
      <c r="HR274" s="63"/>
      <c r="HS274" s="54"/>
      <c r="HU274" s="86"/>
      <c r="HZ274" s="86"/>
      <c r="IA274" s="86"/>
      <c r="IG274" s="54"/>
      <c r="IK274" s="86"/>
    </row>
    <row r="275" spans="1:245">
      <c r="A275" s="86">
        <v>245</v>
      </c>
      <c r="B275" s="117"/>
      <c r="C275" s="117"/>
      <c r="D275" s="117"/>
      <c r="E275" s="117"/>
      <c r="K275" s="117"/>
      <c r="L275" s="117"/>
      <c r="M275" s="117"/>
      <c r="N275" s="117"/>
      <c r="O275" s="117"/>
      <c r="P275" s="117"/>
      <c r="Q275" s="117"/>
      <c r="R275" s="117"/>
      <c r="S275" s="117"/>
      <c r="T275" s="117"/>
      <c r="U275" s="117"/>
      <c r="V275" s="74"/>
      <c r="W275" s="74"/>
      <c r="X275" s="74"/>
      <c r="Y275" s="74"/>
      <c r="Z275" s="74"/>
      <c r="AA275" s="74"/>
      <c r="AB275" s="74"/>
      <c r="AC275" s="74"/>
      <c r="AD275" s="117"/>
      <c r="AE275" s="117"/>
      <c r="AF275" s="117"/>
      <c r="AG275" s="117"/>
      <c r="AH275" s="117"/>
      <c r="AI275" s="117"/>
      <c r="AJ275" s="117"/>
      <c r="AK275" s="117"/>
      <c r="AL275" s="117"/>
      <c r="AM275" s="117"/>
      <c r="AN275" s="117"/>
      <c r="AO275" s="117"/>
      <c r="AP275" s="117"/>
      <c r="AQ275" s="117"/>
      <c r="AR275" s="117"/>
      <c r="AS275" s="300"/>
      <c r="AT275" s="300"/>
      <c r="AU275" s="86"/>
      <c r="AV275" s="162"/>
      <c r="AW275" s="162"/>
      <c r="AX275" s="162"/>
      <c r="AY275" s="162"/>
      <c r="BC275" s="45"/>
      <c r="BD275" s="45"/>
      <c r="BE275" s="45"/>
      <c r="BF275" s="117"/>
      <c r="BG275" s="99"/>
      <c r="BH275" s="99"/>
      <c r="BI275" s="74"/>
      <c r="BJ275" s="117"/>
      <c r="BK275" s="117"/>
      <c r="BL275" s="117"/>
      <c r="BM275" s="117"/>
      <c r="BN275" s="117"/>
      <c r="BO275" s="117"/>
      <c r="BP275" s="117"/>
      <c r="BQ275" s="117"/>
      <c r="BR275" s="117"/>
      <c r="BS275" s="117"/>
      <c r="BT275" s="117"/>
      <c r="BU275" s="117"/>
      <c r="BV275" s="117"/>
      <c r="BW275" s="117"/>
      <c r="BX275" s="117"/>
      <c r="BY275" s="102"/>
      <c r="BZ275" s="102"/>
      <c r="CB275" s="86"/>
      <c r="CD275" s="102"/>
      <c r="CE275" s="102"/>
      <c r="CH275" s="86"/>
      <c r="CI275" s="86"/>
      <c r="CJ275" s="86"/>
      <c r="CM275" s="63"/>
      <c r="CN275" s="54"/>
      <c r="CO275" s="54"/>
      <c r="CP275" s="54"/>
      <c r="CQ275" s="54"/>
      <c r="CR275" s="54"/>
      <c r="CS275" s="54"/>
      <c r="CT275" s="54"/>
      <c r="CU275" s="54"/>
      <c r="CV275" s="86"/>
      <c r="CW275" s="86"/>
      <c r="CX275" s="86"/>
      <c r="DG275" s="54"/>
      <c r="DH275" s="54"/>
      <c r="DI275" s="54"/>
      <c r="DJ275" s="54"/>
      <c r="DK275" s="54"/>
      <c r="DL275" s="54"/>
      <c r="DM275" s="341"/>
      <c r="DN275" s="86"/>
      <c r="DO275" s="86"/>
      <c r="DP275" s="86"/>
      <c r="DX275" s="54"/>
      <c r="DY275" s="54"/>
      <c r="DZ275" s="54"/>
      <c r="EA275" s="54"/>
      <c r="EB275" s="54"/>
      <c r="EC275" s="54"/>
      <c r="ED275" s="63"/>
      <c r="EE275" s="86"/>
      <c r="EF275" s="86"/>
      <c r="EG275" s="86"/>
      <c r="EN275" s="63"/>
      <c r="EO275" s="54"/>
      <c r="EQ275" s="86"/>
      <c r="ER275" s="86"/>
      <c r="EY275" s="54"/>
      <c r="FG275" s="86"/>
      <c r="FM275" s="45"/>
      <c r="FT275" s="86"/>
      <c r="FU275" s="63"/>
      <c r="FV275" s="54"/>
      <c r="FW275" s="54"/>
      <c r="FX275" s="54"/>
      <c r="FY275" s="86"/>
      <c r="FZ275" s="86"/>
      <c r="GA275" s="86"/>
      <c r="GB275" s="86"/>
      <c r="GD275" s="54"/>
      <c r="GE275" s="54"/>
      <c r="GF275" s="54"/>
      <c r="GG275" s="54"/>
      <c r="GI275" s="45"/>
      <c r="GJ275" s="54"/>
      <c r="GK275" s="54"/>
      <c r="GL275" s="86"/>
      <c r="GM275" s="86"/>
      <c r="GR275" s="86"/>
      <c r="GS275" s="86"/>
      <c r="GU275" s="54"/>
      <c r="GV275" s="54"/>
      <c r="GW275" s="54"/>
      <c r="GX275" s="54"/>
      <c r="HA275" s="63"/>
      <c r="HB275" s="54"/>
      <c r="HD275" s="86"/>
      <c r="HI275" s="86"/>
      <c r="HJ275" s="86"/>
      <c r="HR275" s="63"/>
      <c r="HS275" s="54"/>
      <c r="HU275" s="86"/>
      <c r="HZ275" s="86"/>
      <c r="IA275" s="86"/>
      <c r="IG275" s="54"/>
      <c r="IK275" s="86"/>
    </row>
    <row r="276" spans="1:245">
      <c r="A276" s="86">
        <v>246</v>
      </c>
      <c r="B276" s="117"/>
      <c r="C276" s="117"/>
      <c r="D276" s="117"/>
      <c r="E276" s="117"/>
      <c r="K276" s="117"/>
      <c r="L276" s="117"/>
      <c r="M276" s="117"/>
      <c r="N276" s="117"/>
      <c r="O276" s="117"/>
      <c r="P276" s="117"/>
      <c r="Q276" s="117"/>
      <c r="R276" s="117"/>
      <c r="S276" s="117"/>
      <c r="T276" s="117"/>
      <c r="U276" s="117"/>
      <c r="V276" s="74"/>
      <c r="W276" s="74"/>
      <c r="X276" s="74"/>
      <c r="Y276" s="74"/>
      <c r="Z276" s="74"/>
      <c r="AA276" s="74"/>
      <c r="AB276" s="74"/>
      <c r="AC276" s="74"/>
      <c r="AD276" s="117"/>
      <c r="AE276" s="117"/>
      <c r="AF276" s="117"/>
      <c r="AG276" s="117"/>
      <c r="AH276" s="117"/>
      <c r="AI276" s="117"/>
      <c r="AJ276" s="117"/>
      <c r="AK276" s="117"/>
      <c r="AL276" s="117"/>
      <c r="AM276" s="117"/>
      <c r="AN276" s="117"/>
      <c r="AO276" s="117"/>
      <c r="AP276" s="117"/>
      <c r="AQ276" s="117"/>
      <c r="AR276" s="117"/>
      <c r="AS276" s="300"/>
      <c r="AT276" s="300"/>
      <c r="AU276" s="86"/>
      <c r="AV276" s="162"/>
      <c r="AW276" s="162"/>
      <c r="AX276" s="162"/>
      <c r="AY276" s="162"/>
      <c r="BC276" s="45"/>
      <c r="BD276" s="45"/>
      <c r="BE276" s="45"/>
      <c r="BF276" s="138"/>
      <c r="BG276" s="99"/>
      <c r="BH276" s="99"/>
      <c r="BI276" s="74"/>
      <c r="BJ276" s="117"/>
      <c r="BK276" s="117"/>
      <c r="BL276" s="117"/>
      <c r="BM276" s="117"/>
      <c r="BN276" s="117"/>
      <c r="BO276" s="117"/>
      <c r="BP276" s="117"/>
      <c r="BQ276" s="117"/>
      <c r="BR276" s="117"/>
      <c r="BS276" s="117"/>
      <c r="BT276" s="117"/>
      <c r="BU276" s="117"/>
      <c r="BV276" s="117"/>
      <c r="BW276" s="117"/>
      <c r="BX276" s="117"/>
      <c r="BY276" s="102"/>
      <c r="BZ276" s="102"/>
      <c r="CB276" s="86"/>
      <c r="CD276" s="102"/>
      <c r="CE276" s="102"/>
      <c r="CH276" s="86"/>
      <c r="CI276" s="86"/>
      <c r="CJ276" s="86"/>
      <c r="CM276" s="63"/>
      <c r="CN276" s="54"/>
      <c r="CO276" s="54"/>
      <c r="CP276" s="54"/>
      <c r="CQ276" s="54"/>
      <c r="CR276" s="54"/>
      <c r="CS276" s="54"/>
      <c r="CT276" s="54"/>
      <c r="CU276" s="54"/>
      <c r="CV276" s="86"/>
      <c r="CW276" s="86"/>
      <c r="CX276" s="86"/>
      <c r="DG276" s="54"/>
      <c r="DH276" s="54"/>
      <c r="DI276" s="54"/>
      <c r="DJ276" s="54"/>
      <c r="DK276" s="54"/>
      <c r="DL276" s="54"/>
      <c r="DM276" s="341"/>
      <c r="DN276" s="86"/>
      <c r="DO276" s="86"/>
      <c r="DP276" s="86"/>
      <c r="DX276" s="54"/>
      <c r="DY276" s="54"/>
      <c r="DZ276" s="54"/>
      <c r="EA276" s="54"/>
      <c r="EB276" s="54"/>
      <c r="EC276" s="54"/>
      <c r="ED276" s="63"/>
      <c r="EE276" s="86"/>
      <c r="EF276" s="86"/>
      <c r="EG276" s="86"/>
      <c r="EN276" s="63"/>
      <c r="EO276" s="54"/>
      <c r="EQ276" s="86"/>
      <c r="ER276" s="86"/>
      <c r="EY276" s="54"/>
      <c r="FG276" s="86"/>
      <c r="FM276" s="45"/>
      <c r="FT276" s="86"/>
      <c r="FU276" s="63"/>
      <c r="FV276" s="54"/>
      <c r="FW276" s="54"/>
      <c r="FX276" s="54"/>
      <c r="FY276" s="86"/>
      <c r="FZ276" s="86"/>
      <c r="GA276" s="86"/>
      <c r="GB276" s="86"/>
      <c r="GD276" s="54"/>
      <c r="GE276" s="54"/>
      <c r="GF276" s="54"/>
      <c r="GG276" s="54"/>
      <c r="GI276" s="45"/>
      <c r="GJ276" s="54"/>
      <c r="GK276" s="54"/>
      <c r="GL276" s="86"/>
      <c r="GM276" s="86"/>
      <c r="GR276" s="86"/>
      <c r="GS276" s="86"/>
      <c r="GU276" s="54"/>
      <c r="GV276" s="54"/>
      <c r="GW276" s="54"/>
      <c r="GX276" s="54"/>
      <c r="HA276" s="63"/>
      <c r="HB276" s="54"/>
      <c r="HD276" s="86"/>
      <c r="HI276" s="86"/>
      <c r="HJ276" s="86"/>
      <c r="HR276" s="63"/>
      <c r="HS276" s="54"/>
      <c r="HU276" s="86"/>
      <c r="HZ276" s="86"/>
      <c r="IA276" s="86"/>
      <c r="IG276" s="54"/>
      <c r="IK276" s="86"/>
    </row>
    <row r="277" spans="1:245">
      <c r="A277" s="86">
        <v>247</v>
      </c>
      <c r="B277" s="117"/>
      <c r="C277" s="117"/>
      <c r="D277" s="117"/>
      <c r="E277" s="117"/>
      <c r="K277" s="117"/>
      <c r="L277" s="117"/>
      <c r="M277" s="117"/>
      <c r="N277" s="117"/>
      <c r="O277" s="117"/>
      <c r="P277" s="117"/>
      <c r="Q277" s="117"/>
      <c r="R277" s="117"/>
      <c r="S277" s="117"/>
      <c r="T277" s="117"/>
      <c r="U277" s="117"/>
      <c r="V277" s="74"/>
      <c r="W277" s="74"/>
      <c r="X277" s="74"/>
      <c r="Y277" s="74"/>
      <c r="Z277" s="74"/>
      <c r="AA277" s="74"/>
      <c r="AB277" s="74"/>
      <c r="AC277" s="74"/>
      <c r="AD277" s="117"/>
      <c r="AE277" s="117"/>
      <c r="AF277" s="117"/>
      <c r="AG277" s="117"/>
      <c r="AH277" s="117"/>
      <c r="AI277" s="117"/>
      <c r="AJ277" s="117"/>
      <c r="AK277" s="117"/>
      <c r="AL277" s="117"/>
      <c r="AM277" s="117"/>
      <c r="AN277" s="117"/>
      <c r="AO277" s="117"/>
      <c r="AP277" s="117"/>
      <c r="AQ277" s="117"/>
      <c r="AR277" s="117"/>
      <c r="AS277" s="300"/>
      <c r="AT277" s="300"/>
      <c r="AU277" s="86"/>
      <c r="AV277" s="162"/>
      <c r="AW277" s="162"/>
      <c r="AX277" s="162"/>
      <c r="AY277" s="162"/>
      <c r="BC277" s="45"/>
      <c r="BD277" s="45"/>
      <c r="BE277" s="45"/>
      <c r="BF277" s="138"/>
      <c r="BG277" s="99"/>
      <c r="BH277" s="99"/>
      <c r="BI277" s="74"/>
      <c r="BJ277" s="117"/>
      <c r="BK277" s="117"/>
      <c r="BL277" s="117"/>
      <c r="BM277" s="117"/>
      <c r="BN277" s="117"/>
      <c r="BO277" s="117"/>
      <c r="BP277" s="117"/>
      <c r="BQ277" s="117"/>
      <c r="BR277" s="117"/>
      <c r="BS277" s="117"/>
      <c r="BT277" s="117"/>
      <c r="BU277" s="117"/>
      <c r="BV277" s="117"/>
      <c r="BW277" s="117"/>
      <c r="BX277" s="117"/>
      <c r="BY277" s="102"/>
      <c r="BZ277" s="102"/>
      <c r="CB277" s="86"/>
      <c r="CD277" s="102"/>
      <c r="CE277" s="102"/>
      <c r="CH277" s="86"/>
      <c r="CI277" s="86"/>
      <c r="CJ277" s="86"/>
      <c r="CM277" s="63"/>
      <c r="CN277" s="54"/>
      <c r="CO277" s="54"/>
      <c r="CP277" s="54"/>
      <c r="CQ277" s="54"/>
      <c r="CR277" s="54"/>
      <c r="CS277" s="54"/>
      <c r="CT277" s="54"/>
      <c r="CU277" s="54"/>
      <c r="CV277" s="86"/>
      <c r="CW277" s="86"/>
      <c r="CX277" s="86"/>
      <c r="DG277" s="54"/>
      <c r="DH277" s="54"/>
      <c r="DI277" s="54"/>
      <c r="DJ277" s="54"/>
      <c r="DK277" s="54"/>
      <c r="DL277" s="54"/>
      <c r="DM277" s="341"/>
      <c r="DN277" s="86"/>
      <c r="DO277" s="86"/>
      <c r="DP277" s="86"/>
      <c r="DX277" s="54"/>
      <c r="DY277" s="54"/>
      <c r="DZ277" s="54"/>
      <c r="EA277" s="54"/>
      <c r="EB277" s="54"/>
      <c r="EC277" s="54"/>
      <c r="ED277" s="63"/>
      <c r="EE277" s="86"/>
      <c r="EF277" s="86"/>
      <c r="EG277" s="86"/>
      <c r="EN277" s="63"/>
      <c r="EO277" s="54"/>
      <c r="EQ277" s="86"/>
      <c r="ER277" s="86"/>
      <c r="EY277" s="54"/>
      <c r="FG277" s="86"/>
      <c r="FM277" s="45"/>
      <c r="FT277" s="86"/>
      <c r="FU277" s="63"/>
      <c r="FV277" s="54"/>
      <c r="FW277" s="54"/>
      <c r="FX277" s="54"/>
      <c r="FY277" s="86"/>
      <c r="FZ277" s="86"/>
      <c r="GA277" s="86"/>
      <c r="GB277" s="86"/>
      <c r="GD277" s="54"/>
      <c r="GE277" s="54"/>
      <c r="GF277" s="54"/>
      <c r="GG277" s="54"/>
      <c r="GI277" s="45"/>
      <c r="GJ277" s="54"/>
      <c r="GK277" s="54"/>
      <c r="GL277" s="86"/>
      <c r="GM277" s="86"/>
      <c r="GR277" s="86"/>
      <c r="GS277" s="86"/>
      <c r="GU277" s="54"/>
      <c r="GV277" s="54"/>
      <c r="GW277" s="54"/>
      <c r="GX277" s="54"/>
      <c r="HA277" s="63"/>
      <c r="HB277" s="54"/>
      <c r="HD277" s="86"/>
      <c r="HI277" s="86"/>
      <c r="HJ277" s="86"/>
      <c r="HR277" s="63"/>
      <c r="HS277" s="54"/>
      <c r="HU277" s="86"/>
      <c r="HZ277" s="86"/>
      <c r="IA277" s="86"/>
      <c r="IG277" s="54"/>
      <c r="IK277" s="86"/>
    </row>
    <row r="278" spans="1:245">
      <c r="A278" s="86">
        <v>248</v>
      </c>
      <c r="B278" s="117"/>
      <c r="C278" s="117"/>
      <c r="D278" s="117"/>
      <c r="E278" s="117"/>
      <c r="K278" s="117"/>
      <c r="L278" s="117"/>
      <c r="M278" s="117"/>
      <c r="N278" s="117"/>
      <c r="O278" s="117"/>
      <c r="P278" s="117"/>
      <c r="Q278" s="117"/>
      <c r="R278" s="63"/>
      <c r="S278" s="117"/>
      <c r="T278" s="117"/>
      <c r="U278" s="117"/>
      <c r="V278" s="117"/>
      <c r="W278" s="117"/>
      <c r="X278" s="117"/>
      <c r="Y278" s="117"/>
      <c r="Z278" s="117"/>
      <c r="AA278" s="117"/>
      <c r="AB278" s="117"/>
      <c r="AC278" s="117"/>
      <c r="AD278" s="117"/>
      <c r="AE278" s="117"/>
      <c r="AF278" s="74"/>
      <c r="AG278" s="117"/>
      <c r="AH278" s="117"/>
      <c r="AI278" s="117"/>
      <c r="AJ278" s="117"/>
      <c r="AK278" s="117"/>
      <c r="AL278" s="117"/>
      <c r="AM278" s="117"/>
      <c r="AN278" s="117"/>
      <c r="AO278" s="117"/>
      <c r="AP278" s="117"/>
      <c r="AQ278" s="117"/>
      <c r="AR278" s="117"/>
      <c r="AS278" s="145"/>
      <c r="AU278" s="117"/>
      <c r="AV278" s="45"/>
      <c r="AY278" s="162"/>
      <c r="BF278" s="45"/>
      <c r="BG278" s="246"/>
      <c r="BI278" s="138"/>
      <c r="BJ278" s="54"/>
      <c r="BK278" s="74"/>
      <c r="BL278" s="117"/>
      <c r="BM278" s="117"/>
      <c r="BN278" s="117"/>
      <c r="BO278" s="117"/>
      <c r="BP278" s="117"/>
      <c r="BQ278" s="117"/>
      <c r="BR278" s="117"/>
      <c r="BS278" s="117"/>
      <c r="BT278" s="117"/>
      <c r="BU278" s="117"/>
      <c r="BV278" s="117"/>
      <c r="BW278" s="117"/>
      <c r="BX278" s="117"/>
      <c r="BY278" s="117"/>
      <c r="CA278" s="102"/>
      <c r="CC278" s="86"/>
      <c r="CE278" s="102"/>
      <c r="CJ278" s="86"/>
      <c r="CP278" s="63"/>
      <c r="CQ278" s="54"/>
      <c r="CX278" s="86"/>
      <c r="DM278" s="342"/>
      <c r="DO278" s="63"/>
      <c r="DP278" s="86"/>
      <c r="ED278" s="54"/>
      <c r="EF278" s="63"/>
      <c r="EG278" s="86"/>
      <c r="EP278" s="63"/>
      <c r="EQ278" s="54"/>
      <c r="ER278" s="86"/>
      <c r="FF278" s="54"/>
      <c r="FG278" s="86"/>
      <c r="FO278" s="45"/>
      <c r="FT278" s="86"/>
      <c r="FW278" s="63"/>
      <c r="FX278" s="54"/>
      <c r="GB278" s="86"/>
      <c r="GK278" s="45"/>
      <c r="GL278" s="54"/>
      <c r="GS278" s="86"/>
      <c r="HC278" s="63"/>
      <c r="HJ278" s="86"/>
      <c r="HT278" s="63"/>
      <c r="HZ278" s="54"/>
      <c r="IA278" s="86"/>
      <c r="IJ278" s="54"/>
      <c r="IK278" s="86"/>
    </row>
    <row r="279" spans="1:245">
      <c r="A279" s="86">
        <v>249</v>
      </c>
      <c r="B279" s="117"/>
      <c r="C279" s="117"/>
      <c r="D279" s="117"/>
      <c r="E279" s="117"/>
      <c r="K279" s="117"/>
      <c r="L279" s="117"/>
      <c r="M279" s="117"/>
      <c r="N279" s="117"/>
      <c r="O279" s="117"/>
      <c r="P279" s="117"/>
      <c r="Q279" s="117"/>
      <c r="R279" s="63"/>
      <c r="S279" s="117"/>
      <c r="T279" s="117"/>
      <c r="U279" s="117"/>
      <c r="V279" s="117"/>
      <c r="W279" s="117"/>
      <c r="X279" s="117"/>
      <c r="Y279" s="117"/>
      <c r="Z279" s="117"/>
      <c r="AA279" s="117"/>
      <c r="AB279" s="117"/>
      <c r="AC279" s="117"/>
      <c r="AD279" s="117"/>
      <c r="AE279" s="117"/>
      <c r="AF279" s="74"/>
      <c r="AG279" s="117"/>
      <c r="AH279" s="117"/>
      <c r="AI279" s="117"/>
      <c r="AJ279" s="117"/>
      <c r="AK279" s="117"/>
      <c r="AL279" s="117"/>
      <c r="AM279" s="117"/>
      <c r="AN279" s="117"/>
      <c r="AO279" s="117"/>
      <c r="AP279" s="117"/>
      <c r="AQ279" s="117"/>
      <c r="AR279" s="117"/>
      <c r="AS279" s="145"/>
      <c r="AU279" s="117"/>
      <c r="AV279" s="45"/>
      <c r="AY279" s="162"/>
      <c r="BF279" s="45"/>
      <c r="BG279" s="246"/>
      <c r="BI279" s="138"/>
      <c r="BJ279" s="54"/>
      <c r="BK279" s="74"/>
      <c r="BL279" s="117"/>
      <c r="BM279" s="117"/>
      <c r="BN279" s="117"/>
      <c r="BO279" s="117"/>
      <c r="BP279" s="117"/>
      <c r="BQ279" s="117"/>
      <c r="BR279" s="117"/>
      <c r="BS279" s="117"/>
      <c r="BT279" s="117"/>
      <c r="BU279" s="117"/>
      <c r="BV279" s="117"/>
      <c r="BW279" s="117"/>
      <c r="BX279" s="117"/>
      <c r="BY279" s="117"/>
      <c r="CA279" s="102"/>
      <c r="CC279" s="86"/>
      <c r="CE279" s="102"/>
      <c r="CJ279" s="86"/>
      <c r="CP279" s="63"/>
      <c r="CQ279" s="54"/>
      <c r="CX279" s="86"/>
      <c r="DM279" s="342"/>
      <c r="DO279" s="63"/>
      <c r="DP279" s="86"/>
      <c r="ED279" s="54"/>
      <c r="EF279" s="63"/>
      <c r="EG279" s="86"/>
      <c r="EP279" s="63"/>
      <c r="EQ279" s="54"/>
      <c r="ER279" s="86"/>
      <c r="FF279" s="54"/>
      <c r="FG279" s="86"/>
      <c r="FO279" s="45"/>
      <c r="FT279" s="86"/>
      <c r="FW279" s="63"/>
      <c r="FX279" s="54"/>
      <c r="GB279" s="86"/>
      <c r="GK279" s="45"/>
      <c r="GL279" s="54"/>
      <c r="GS279" s="86"/>
      <c r="HC279" s="63"/>
      <c r="HJ279" s="86"/>
      <c r="HT279" s="63"/>
      <c r="HZ279" s="54"/>
      <c r="IA279" s="86"/>
      <c r="IJ279" s="54"/>
      <c r="IK279" s="86"/>
    </row>
    <row r="280" spans="1:245">
      <c r="A280" s="86">
        <v>250</v>
      </c>
      <c r="B280" s="117"/>
      <c r="C280" s="117"/>
      <c r="D280" s="117"/>
      <c r="E280" s="117"/>
      <c r="K280" s="117"/>
      <c r="L280" s="117"/>
      <c r="M280" s="117"/>
      <c r="N280" s="117"/>
      <c r="O280" s="117"/>
      <c r="P280" s="117"/>
      <c r="Q280" s="117"/>
      <c r="R280" s="63"/>
      <c r="S280" s="117"/>
      <c r="T280" s="117"/>
      <c r="U280" s="117"/>
      <c r="V280" s="117"/>
      <c r="W280" s="117"/>
      <c r="X280" s="117"/>
      <c r="Y280" s="117"/>
      <c r="Z280" s="117"/>
      <c r="AA280" s="117"/>
      <c r="AB280" s="117"/>
      <c r="AC280" s="117"/>
      <c r="AD280" s="117"/>
      <c r="AE280" s="117"/>
      <c r="AF280" s="74"/>
      <c r="AG280" s="117"/>
      <c r="AH280" s="117"/>
      <c r="AI280" s="117"/>
      <c r="AJ280" s="117"/>
      <c r="AK280" s="117"/>
      <c r="AL280" s="117"/>
      <c r="AM280" s="117"/>
      <c r="AN280" s="117"/>
      <c r="AO280" s="117"/>
      <c r="AP280" s="117"/>
      <c r="AQ280" s="117"/>
      <c r="AR280" s="117"/>
      <c r="AS280" s="145"/>
      <c r="AU280" s="117"/>
      <c r="AV280" s="45"/>
      <c r="AY280" s="162"/>
      <c r="BF280" s="45"/>
      <c r="BG280" s="246"/>
      <c r="BI280" s="138"/>
      <c r="BJ280" s="54"/>
      <c r="BK280" s="74"/>
      <c r="BL280" s="117"/>
      <c r="BM280" s="117"/>
      <c r="BN280" s="117"/>
      <c r="BO280" s="117"/>
      <c r="BP280" s="117"/>
      <c r="BQ280" s="117"/>
      <c r="BR280" s="117"/>
      <c r="BS280" s="117"/>
      <c r="BT280" s="117"/>
      <c r="BU280" s="117"/>
      <c r="BV280" s="117"/>
      <c r="BW280" s="117"/>
      <c r="BX280" s="117"/>
      <c r="BY280" s="117"/>
      <c r="CA280" s="102"/>
      <c r="CC280" s="86"/>
      <c r="CE280" s="102"/>
      <c r="CJ280" s="86"/>
      <c r="CP280" s="63"/>
      <c r="CQ280" s="54"/>
      <c r="CX280" s="86"/>
      <c r="DM280" s="342"/>
      <c r="DO280" s="63"/>
      <c r="DP280" s="86"/>
      <c r="ED280" s="54"/>
      <c r="EF280" s="63"/>
      <c r="EG280" s="86"/>
      <c r="EP280" s="63"/>
      <c r="EQ280" s="54"/>
      <c r="ER280" s="86"/>
      <c r="FF280" s="54"/>
      <c r="FG280" s="86"/>
      <c r="FO280" s="45"/>
      <c r="FT280" s="86"/>
      <c r="FW280" s="63"/>
      <c r="FX280" s="54"/>
      <c r="GB280" s="86"/>
      <c r="GK280" s="45"/>
      <c r="GL280" s="54"/>
      <c r="GS280" s="86"/>
      <c r="HC280" s="63"/>
      <c r="HJ280" s="86"/>
      <c r="HT280" s="63"/>
      <c r="HZ280" s="54"/>
      <c r="IA280" s="86"/>
      <c r="IJ280" s="54"/>
      <c r="IK280" s="86"/>
    </row>
    <row r="281" spans="1:245">
      <c r="A281" s="86">
        <v>251</v>
      </c>
      <c r="B281" s="117"/>
      <c r="C281" s="117"/>
      <c r="D281" s="117"/>
      <c r="E281" s="117"/>
      <c r="K281" s="117"/>
      <c r="L281" s="117"/>
      <c r="M281" s="117"/>
      <c r="N281" s="117"/>
      <c r="O281" s="117"/>
      <c r="P281" s="117"/>
      <c r="Q281" s="117"/>
      <c r="R281" s="63"/>
      <c r="S281" s="117"/>
      <c r="T281" s="117"/>
      <c r="U281" s="117"/>
      <c r="V281" s="117"/>
      <c r="W281" s="117"/>
      <c r="X281" s="117"/>
      <c r="Y281" s="117"/>
      <c r="Z281" s="117"/>
      <c r="AA281" s="117"/>
      <c r="AB281" s="117"/>
      <c r="AC281" s="117"/>
      <c r="AD281" s="117"/>
      <c r="AE281" s="117"/>
      <c r="AF281" s="74"/>
      <c r="AG281" s="117"/>
      <c r="AH281" s="117"/>
      <c r="AI281" s="117"/>
      <c r="AJ281" s="117"/>
      <c r="AK281" s="117"/>
      <c r="AL281" s="117"/>
      <c r="AM281" s="117"/>
      <c r="AN281" s="117"/>
      <c r="AO281" s="117"/>
      <c r="AP281" s="117"/>
      <c r="AQ281" s="117"/>
      <c r="AR281" s="117"/>
      <c r="AS281" s="145"/>
      <c r="AU281" s="117"/>
      <c r="AV281" s="45"/>
      <c r="AY281" s="162"/>
      <c r="BF281" s="45"/>
      <c r="BG281" s="246"/>
      <c r="BI281" s="138"/>
      <c r="BJ281" s="54"/>
      <c r="BK281" s="74"/>
      <c r="BL281" s="117"/>
      <c r="BM281" s="117"/>
      <c r="BN281" s="117"/>
      <c r="BO281" s="117"/>
      <c r="BP281" s="117"/>
      <c r="BQ281" s="117"/>
      <c r="BR281" s="117"/>
      <c r="BS281" s="117"/>
      <c r="BT281" s="117"/>
      <c r="BU281" s="117"/>
      <c r="BV281" s="117"/>
      <c r="BW281" s="117"/>
      <c r="BX281" s="117"/>
      <c r="BY281" s="117"/>
      <c r="CA281" s="102"/>
      <c r="CC281" s="86"/>
      <c r="CE281" s="102"/>
      <c r="CJ281" s="86"/>
      <c r="CP281" s="63"/>
      <c r="CQ281" s="54"/>
      <c r="CX281" s="86"/>
      <c r="DM281" s="342"/>
      <c r="DO281" s="63"/>
      <c r="DP281" s="86"/>
      <c r="ED281" s="54"/>
      <c r="EF281" s="63"/>
      <c r="EG281" s="86"/>
      <c r="EP281" s="63"/>
      <c r="EQ281" s="54"/>
      <c r="ER281" s="86"/>
      <c r="FF281" s="54"/>
      <c r="FG281" s="86"/>
      <c r="FO281" s="45"/>
      <c r="FT281" s="86"/>
      <c r="FW281" s="63"/>
      <c r="FX281" s="54"/>
      <c r="GB281" s="86"/>
      <c r="GK281" s="45"/>
      <c r="GL281" s="54"/>
      <c r="GS281" s="86"/>
      <c r="HC281" s="63"/>
      <c r="HJ281" s="86"/>
      <c r="HT281" s="63"/>
      <c r="HZ281" s="54"/>
      <c r="IA281" s="86"/>
      <c r="IJ281" s="54"/>
      <c r="IK281" s="86"/>
    </row>
    <row r="282" spans="1:245">
      <c r="A282" s="86">
        <v>252</v>
      </c>
      <c r="B282" s="117"/>
      <c r="C282" s="117"/>
      <c r="D282" s="117"/>
      <c r="E282" s="117"/>
      <c r="K282" s="117"/>
      <c r="L282" s="117"/>
      <c r="M282" s="117"/>
      <c r="N282" s="117"/>
      <c r="O282" s="117"/>
      <c r="P282" s="117"/>
      <c r="Q282" s="117"/>
      <c r="R282" s="63"/>
      <c r="S282" s="117"/>
      <c r="T282" s="117"/>
      <c r="U282" s="117"/>
      <c r="V282" s="117"/>
      <c r="W282" s="117"/>
      <c r="X282" s="117"/>
      <c r="Y282" s="117"/>
      <c r="Z282" s="117"/>
      <c r="AA282" s="117"/>
      <c r="AB282" s="117"/>
      <c r="AC282" s="117"/>
      <c r="AD282" s="117"/>
      <c r="AE282" s="117"/>
      <c r="AF282" s="74"/>
      <c r="AG282" s="117"/>
      <c r="AH282" s="117"/>
      <c r="AI282" s="117"/>
      <c r="AJ282" s="117"/>
      <c r="AK282" s="117"/>
      <c r="AL282" s="117"/>
      <c r="AM282" s="117"/>
      <c r="AN282" s="117"/>
      <c r="AO282" s="117"/>
      <c r="AP282" s="117"/>
      <c r="AQ282" s="117"/>
      <c r="AR282" s="117"/>
      <c r="AS282" s="145"/>
      <c r="AU282" s="117"/>
      <c r="AV282" s="45"/>
      <c r="AY282" s="162"/>
      <c r="BF282" s="45"/>
      <c r="BG282" s="246"/>
      <c r="BI282" s="138"/>
      <c r="BJ282" s="54"/>
      <c r="BK282" s="74"/>
      <c r="BL282" s="117"/>
      <c r="BM282" s="117"/>
      <c r="BN282" s="117"/>
      <c r="BO282" s="117"/>
      <c r="BP282" s="117"/>
      <c r="BQ282" s="117"/>
      <c r="BR282" s="117"/>
      <c r="BS282" s="117"/>
      <c r="BT282" s="117"/>
      <c r="BU282" s="117"/>
      <c r="BV282" s="117"/>
      <c r="BW282" s="117"/>
      <c r="BX282" s="117"/>
      <c r="BY282" s="117"/>
      <c r="CA282" s="102"/>
      <c r="CC282" s="86"/>
      <c r="CE282" s="102"/>
      <c r="CJ282" s="86"/>
      <c r="CP282" s="63"/>
      <c r="CQ282" s="54"/>
      <c r="CX282" s="86"/>
      <c r="DM282" s="342"/>
      <c r="DO282" s="63"/>
      <c r="DP282" s="86"/>
      <c r="ED282" s="54"/>
      <c r="EF282" s="63"/>
      <c r="EG282" s="86"/>
      <c r="EP282" s="63"/>
      <c r="EQ282" s="54"/>
      <c r="ER282" s="86"/>
      <c r="FF282" s="54"/>
      <c r="FG282" s="86"/>
      <c r="FO282" s="45"/>
      <c r="FT282" s="86"/>
      <c r="FW282" s="63"/>
      <c r="FX282" s="54"/>
      <c r="GB282" s="86"/>
      <c r="GK282" s="45"/>
      <c r="GL282" s="54"/>
      <c r="GS282" s="86"/>
      <c r="HC282" s="63"/>
      <c r="HJ282" s="86"/>
      <c r="HT282" s="63"/>
      <c r="HZ282" s="54"/>
      <c r="IA282" s="86"/>
      <c r="IJ282" s="54"/>
      <c r="IK282" s="86"/>
    </row>
    <row r="283" spans="1:245">
      <c r="A283" s="86">
        <v>253</v>
      </c>
      <c r="B283" s="117"/>
      <c r="C283" s="117"/>
      <c r="D283" s="117"/>
      <c r="E283" s="117"/>
      <c r="K283" s="117"/>
      <c r="L283" s="117"/>
      <c r="M283" s="117"/>
      <c r="N283" s="117"/>
      <c r="O283" s="117"/>
      <c r="P283" s="117"/>
      <c r="Q283" s="117"/>
      <c r="R283" s="63"/>
      <c r="S283" s="117"/>
      <c r="T283" s="117"/>
      <c r="U283" s="117"/>
      <c r="V283" s="117"/>
      <c r="W283" s="117"/>
      <c r="X283" s="117"/>
      <c r="Y283" s="117"/>
      <c r="Z283" s="117"/>
      <c r="AA283" s="117"/>
      <c r="AB283" s="117"/>
      <c r="AC283" s="117"/>
      <c r="AD283" s="117"/>
      <c r="AE283" s="117"/>
      <c r="AF283" s="74"/>
      <c r="AG283" s="117"/>
      <c r="AH283" s="117"/>
      <c r="AI283" s="117"/>
      <c r="AJ283" s="117"/>
      <c r="AK283" s="117"/>
      <c r="AL283" s="117"/>
      <c r="AM283" s="117"/>
      <c r="AN283" s="117"/>
      <c r="AO283" s="117"/>
      <c r="AP283" s="117"/>
      <c r="AQ283" s="117"/>
      <c r="AR283" s="117"/>
      <c r="AS283" s="145"/>
      <c r="AU283" s="117"/>
      <c r="AV283" s="45"/>
      <c r="AY283" s="162"/>
      <c r="BF283" s="45"/>
      <c r="BG283" s="246"/>
      <c r="BI283" s="138"/>
      <c r="BJ283" s="54"/>
      <c r="BK283" s="74"/>
      <c r="BL283" s="117"/>
      <c r="BM283" s="117"/>
      <c r="BN283" s="117"/>
      <c r="BO283" s="117"/>
      <c r="BP283" s="117"/>
      <c r="BQ283" s="117"/>
      <c r="BR283" s="117"/>
      <c r="BS283" s="117"/>
      <c r="BT283" s="117"/>
      <c r="BU283" s="117"/>
      <c r="BV283" s="117"/>
      <c r="BW283" s="117"/>
      <c r="BX283" s="117"/>
      <c r="BY283" s="117"/>
      <c r="CA283" s="102"/>
      <c r="CC283" s="86"/>
      <c r="CE283" s="102"/>
      <c r="CJ283" s="86"/>
      <c r="CP283" s="63"/>
      <c r="CQ283" s="54"/>
      <c r="CX283" s="86"/>
      <c r="DM283" s="342"/>
      <c r="DO283" s="63"/>
      <c r="DP283" s="86"/>
      <c r="ED283" s="54"/>
      <c r="EF283" s="63"/>
      <c r="EG283" s="86"/>
      <c r="EP283" s="63"/>
      <c r="EQ283" s="54"/>
      <c r="ER283" s="86"/>
      <c r="FF283" s="54"/>
      <c r="FG283" s="86"/>
      <c r="FO283" s="45"/>
      <c r="FT283" s="86"/>
      <c r="FW283" s="63"/>
      <c r="FX283" s="54"/>
      <c r="GB283" s="86"/>
      <c r="GK283" s="45"/>
      <c r="GL283" s="54"/>
      <c r="GS283" s="86"/>
      <c r="HC283" s="63"/>
      <c r="HJ283" s="86"/>
      <c r="HT283" s="63"/>
      <c r="HZ283" s="54"/>
      <c r="IA283" s="86"/>
      <c r="IJ283" s="54"/>
      <c r="IK283" s="86"/>
    </row>
    <row r="284" spans="1:245">
      <c r="A284" s="86">
        <v>254</v>
      </c>
      <c r="B284" s="117"/>
      <c r="C284" s="117"/>
      <c r="D284" s="117"/>
      <c r="E284" s="117"/>
      <c r="K284" s="117"/>
      <c r="L284" s="117"/>
      <c r="M284" s="117"/>
      <c r="N284" s="117"/>
      <c r="O284" s="117"/>
      <c r="P284" s="117"/>
      <c r="Q284" s="117"/>
      <c r="R284" s="63"/>
      <c r="S284" s="117"/>
      <c r="T284" s="117"/>
      <c r="U284" s="117"/>
      <c r="V284" s="117"/>
      <c r="W284" s="117"/>
      <c r="X284" s="117"/>
      <c r="Y284" s="117"/>
      <c r="Z284" s="117"/>
      <c r="AA284" s="117"/>
      <c r="AB284" s="117"/>
      <c r="AC284" s="117"/>
      <c r="AD284" s="117"/>
      <c r="AE284" s="117"/>
      <c r="AF284" s="74"/>
      <c r="AG284" s="117"/>
      <c r="AH284" s="117"/>
      <c r="AI284" s="117"/>
      <c r="AJ284" s="117"/>
      <c r="AK284" s="117"/>
      <c r="AL284" s="117"/>
      <c r="AM284" s="117"/>
      <c r="AN284" s="117"/>
      <c r="AO284" s="117"/>
      <c r="AP284" s="117"/>
      <c r="AQ284" s="117"/>
      <c r="AR284" s="117"/>
      <c r="AS284" s="145"/>
      <c r="AU284" s="117"/>
      <c r="AV284" s="45"/>
      <c r="AY284" s="162"/>
      <c r="BF284" s="45"/>
      <c r="BG284" s="246"/>
      <c r="BI284" s="138"/>
      <c r="BJ284" s="54"/>
      <c r="BK284" s="74"/>
      <c r="BL284" s="117"/>
      <c r="BM284" s="117"/>
      <c r="BN284" s="117"/>
      <c r="BO284" s="117"/>
      <c r="BP284" s="117"/>
      <c r="BQ284" s="117"/>
      <c r="BR284" s="117"/>
      <c r="BS284" s="117"/>
      <c r="BT284" s="117"/>
      <c r="BU284" s="117"/>
      <c r="BV284" s="117"/>
      <c r="BW284" s="117"/>
      <c r="BX284" s="117"/>
      <c r="BY284" s="117"/>
      <c r="CA284" s="102"/>
      <c r="CC284" s="86"/>
      <c r="CE284" s="102"/>
      <c r="CJ284" s="86"/>
      <c r="CP284" s="63"/>
      <c r="CQ284" s="54"/>
      <c r="CX284" s="86"/>
      <c r="DM284" s="342"/>
      <c r="DO284" s="63"/>
      <c r="DP284" s="86"/>
      <c r="ED284" s="54"/>
      <c r="EF284" s="63"/>
      <c r="EG284" s="86"/>
      <c r="EP284" s="63"/>
      <c r="EQ284" s="54"/>
      <c r="ER284" s="86"/>
      <c r="FF284" s="54"/>
      <c r="FG284" s="86"/>
      <c r="FO284" s="45"/>
      <c r="FT284" s="86"/>
      <c r="FW284" s="63"/>
      <c r="FX284" s="54"/>
      <c r="GB284" s="86"/>
      <c r="GK284" s="45"/>
      <c r="GL284" s="54"/>
      <c r="GS284" s="86"/>
      <c r="HC284" s="63"/>
      <c r="HJ284" s="86"/>
      <c r="HT284" s="63"/>
      <c r="HZ284" s="54"/>
      <c r="IA284" s="86"/>
      <c r="IJ284" s="54"/>
      <c r="IK284" s="86"/>
    </row>
    <row r="285" spans="1:245">
      <c r="A285" s="86">
        <v>255</v>
      </c>
      <c r="B285" s="117"/>
      <c r="C285" s="117"/>
      <c r="D285" s="117"/>
      <c r="E285" s="117"/>
      <c r="K285" s="117"/>
      <c r="L285" s="117"/>
      <c r="M285" s="117"/>
      <c r="N285" s="117"/>
      <c r="O285" s="117"/>
      <c r="P285" s="117"/>
      <c r="Q285" s="117"/>
      <c r="R285" s="63"/>
      <c r="S285" s="117"/>
      <c r="T285" s="117"/>
      <c r="U285" s="117"/>
      <c r="V285" s="117"/>
      <c r="W285" s="117"/>
      <c r="X285" s="117"/>
      <c r="Y285" s="117"/>
      <c r="Z285" s="117"/>
      <c r="AA285" s="117"/>
      <c r="AB285" s="117"/>
      <c r="AC285" s="117"/>
      <c r="AD285" s="117"/>
      <c r="AE285" s="117"/>
      <c r="AF285" s="74"/>
      <c r="AG285" s="117"/>
      <c r="AH285" s="117"/>
      <c r="AI285" s="117"/>
      <c r="AJ285" s="117"/>
      <c r="AK285" s="117"/>
      <c r="AL285" s="117"/>
      <c r="AM285" s="117"/>
      <c r="AN285" s="117"/>
      <c r="AO285" s="117"/>
      <c r="AP285" s="117"/>
      <c r="AQ285" s="117"/>
      <c r="AR285" s="117"/>
      <c r="AS285" s="145"/>
      <c r="AU285" s="117"/>
      <c r="AV285" s="45"/>
      <c r="AY285" s="162"/>
      <c r="BF285" s="45"/>
      <c r="BG285" s="246"/>
      <c r="BI285" s="138"/>
      <c r="BJ285" s="54"/>
      <c r="BK285" s="74"/>
      <c r="BL285" s="117"/>
      <c r="BM285" s="117"/>
      <c r="BN285" s="117"/>
      <c r="BO285" s="117"/>
      <c r="BP285" s="117"/>
      <c r="BQ285" s="117"/>
      <c r="BR285" s="117"/>
      <c r="BS285" s="117"/>
      <c r="BT285" s="117"/>
      <c r="BU285" s="117"/>
      <c r="BV285" s="117"/>
      <c r="BW285" s="117"/>
      <c r="BX285" s="117"/>
      <c r="BY285" s="117"/>
      <c r="CA285" s="102"/>
      <c r="CC285" s="86"/>
      <c r="CE285" s="102"/>
      <c r="CJ285" s="86"/>
      <c r="CP285" s="63"/>
      <c r="CQ285" s="54"/>
      <c r="CX285" s="86"/>
      <c r="DM285" s="342"/>
      <c r="DO285" s="63"/>
      <c r="DP285" s="86"/>
      <c r="ED285" s="54"/>
      <c r="EF285" s="63"/>
      <c r="EG285" s="86"/>
      <c r="EP285" s="63"/>
      <c r="EQ285" s="54"/>
      <c r="ER285" s="86"/>
      <c r="FF285" s="54"/>
      <c r="FG285" s="86"/>
      <c r="FO285" s="45"/>
      <c r="FT285" s="86"/>
      <c r="FW285" s="63"/>
      <c r="FX285" s="54"/>
      <c r="GB285" s="86"/>
      <c r="GK285" s="45"/>
      <c r="GL285" s="54"/>
      <c r="GS285" s="86"/>
      <c r="HC285" s="63"/>
      <c r="HJ285" s="86"/>
      <c r="HT285" s="63"/>
      <c r="HZ285" s="54"/>
      <c r="IA285" s="86"/>
      <c r="IJ285" s="54"/>
      <c r="IK285" s="86"/>
    </row>
    <row r="286" spans="1:245">
      <c r="A286" s="86">
        <v>256</v>
      </c>
      <c r="B286" s="117"/>
      <c r="C286" s="117"/>
      <c r="D286" s="117"/>
      <c r="E286" s="117"/>
      <c r="K286" s="117"/>
      <c r="L286" s="117"/>
      <c r="M286" s="117"/>
      <c r="N286" s="117"/>
      <c r="O286" s="117"/>
      <c r="P286" s="117"/>
      <c r="Q286" s="117"/>
      <c r="R286" s="63"/>
      <c r="S286" s="117"/>
      <c r="T286" s="117"/>
      <c r="U286" s="117"/>
      <c r="V286" s="117"/>
      <c r="W286" s="117"/>
      <c r="X286" s="117"/>
      <c r="Y286" s="117"/>
      <c r="Z286" s="117"/>
      <c r="AA286" s="117"/>
      <c r="AB286" s="117"/>
      <c r="AC286" s="117"/>
      <c r="AD286" s="117"/>
      <c r="AE286" s="117"/>
      <c r="AF286" s="74"/>
      <c r="AG286" s="117"/>
      <c r="AH286" s="117"/>
      <c r="AI286" s="117"/>
      <c r="AJ286" s="117"/>
      <c r="AK286" s="117"/>
      <c r="AL286" s="117"/>
      <c r="AM286" s="117"/>
      <c r="AN286" s="117"/>
      <c r="AO286" s="117"/>
      <c r="AP286" s="117"/>
      <c r="AQ286" s="117"/>
      <c r="AR286" s="117"/>
      <c r="AS286" s="145"/>
      <c r="AU286" s="117"/>
      <c r="AV286" s="45"/>
      <c r="AY286" s="162"/>
      <c r="BF286" s="45"/>
      <c r="BG286" s="246"/>
      <c r="BI286" s="138"/>
      <c r="BJ286" s="54"/>
      <c r="BK286" s="74"/>
      <c r="BL286" s="117"/>
      <c r="BM286" s="117"/>
      <c r="BN286" s="117"/>
      <c r="BO286" s="117"/>
      <c r="BP286" s="117"/>
      <c r="BQ286" s="117"/>
      <c r="BR286" s="117"/>
      <c r="BS286" s="117"/>
      <c r="BT286" s="117"/>
      <c r="BU286" s="117"/>
      <c r="BV286" s="117"/>
      <c r="BW286" s="117"/>
      <c r="BX286" s="117"/>
      <c r="BY286" s="117"/>
      <c r="CA286" s="102"/>
      <c r="CC286" s="86"/>
      <c r="CE286" s="102"/>
      <c r="CJ286" s="86"/>
      <c r="CP286" s="63"/>
      <c r="CQ286" s="54"/>
      <c r="CX286" s="86"/>
      <c r="DM286" s="342"/>
      <c r="DO286" s="63"/>
      <c r="DP286" s="86"/>
      <c r="ED286" s="54"/>
      <c r="EF286" s="63"/>
      <c r="EG286" s="86"/>
      <c r="EP286" s="63"/>
      <c r="EQ286" s="54"/>
      <c r="ER286" s="86"/>
      <c r="FF286" s="54"/>
      <c r="FG286" s="86"/>
      <c r="FO286" s="45"/>
      <c r="FT286" s="86"/>
      <c r="FW286" s="63"/>
      <c r="FX286" s="54"/>
      <c r="GB286" s="86"/>
      <c r="GK286" s="45"/>
      <c r="GL286" s="54"/>
      <c r="GS286" s="86"/>
      <c r="HC286" s="63"/>
      <c r="HJ286" s="86"/>
      <c r="HT286" s="63"/>
      <c r="HZ286" s="54"/>
      <c r="IA286" s="86"/>
      <c r="IJ286" s="54"/>
      <c r="IK286" s="86"/>
    </row>
    <row r="287" spans="1:245">
      <c r="A287" s="86">
        <v>257</v>
      </c>
      <c r="B287" s="117"/>
      <c r="C287" s="117"/>
      <c r="D287" s="117"/>
      <c r="E287" s="117"/>
      <c r="K287" s="117"/>
      <c r="L287" s="117"/>
      <c r="M287" s="117"/>
      <c r="N287" s="117"/>
      <c r="O287" s="117"/>
      <c r="P287" s="117"/>
      <c r="Q287" s="117"/>
      <c r="R287" s="63"/>
      <c r="S287" s="117"/>
      <c r="T287" s="117"/>
      <c r="U287" s="117"/>
      <c r="V287" s="117"/>
      <c r="W287" s="117"/>
      <c r="X287" s="117"/>
      <c r="Y287" s="117"/>
      <c r="Z287" s="117"/>
      <c r="AA287" s="117"/>
      <c r="AB287" s="117"/>
      <c r="AC287" s="117"/>
      <c r="AD287" s="117"/>
      <c r="AE287" s="117"/>
      <c r="AF287" s="74"/>
      <c r="AG287" s="117"/>
      <c r="AH287" s="117"/>
      <c r="AI287" s="117"/>
      <c r="AJ287" s="117"/>
      <c r="AK287" s="117"/>
      <c r="AL287" s="117"/>
      <c r="AM287" s="117"/>
      <c r="AN287" s="117"/>
      <c r="AO287" s="117"/>
      <c r="AP287" s="117"/>
      <c r="AQ287" s="117"/>
      <c r="AR287" s="117"/>
      <c r="AS287" s="145"/>
      <c r="AU287" s="117"/>
      <c r="AV287" s="45"/>
      <c r="AY287" s="162"/>
      <c r="BF287" s="45"/>
      <c r="BG287" s="246"/>
      <c r="BI287" s="138"/>
      <c r="BJ287" s="54"/>
      <c r="BK287" s="74"/>
      <c r="BL287" s="117"/>
      <c r="BM287" s="117"/>
      <c r="BN287" s="117"/>
      <c r="BO287" s="117"/>
      <c r="BP287" s="117"/>
      <c r="BQ287" s="117"/>
      <c r="BR287" s="117"/>
      <c r="BS287" s="117"/>
      <c r="BT287" s="117"/>
      <c r="BU287" s="117"/>
      <c r="BV287" s="117"/>
      <c r="BW287" s="117"/>
      <c r="BX287" s="117"/>
      <c r="BY287" s="117"/>
      <c r="CA287" s="102"/>
      <c r="CC287" s="86"/>
      <c r="CE287" s="102"/>
      <c r="CJ287" s="86"/>
      <c r="CP287" s="63"/>
      <c r="CQ287" s="54"/>
      <c r="CX287" s="86"/>
      <c r="DM287" s="342"/>
      <c r="DO287" s="63"/>
      <c r="DP287" s="86"/>
      <c r="ED287" s="54"/>
      <c r="EF287" s="63"/>
      <c r="EG287" s="86"/>
      <c r="EP287" s="63"/>
      <c r="EQ287" s="54"/>
      <c r="ER287" s="86"/>
      <c r="FF287" s="54"/>
      <c r="FG287" s="86"/>
      <c r="FO287" s="45"/>
      <c r="FT287" s="86"/>
      <c r="FW287" s="63"/>
      <c r="FX287" s="54"/>
      <c r="GB287" s="86"/>
      <c r="GK287" s="45"/>
      <c r="GL287" s="54"/>
      <c r="GS287" s="86"/>
      <c r="HC287" s="63"/>
      <c r="HJ287" s="86"/>
      <c r="HT287" s="63"/>
      <c r="HZ287" s="54"/>
      <c r="IA287" s="86"/>
      <c r="IJ287" s="54"/>
      <c r="IK287" s="86"/>
    </row>
    <row r="288" spans="1:245">
      <c r="A288" s="86">
        <v>258</v>
      </c>
      <c r="B288" s="117"/>
      <c r="C288" s="117"/>
      <c r="D288" s="117"/>
      <c r="E288" s="117"/>
      <c r="K288" s="117"/>
      <c r="L288" s="117"/>
      <c r="M288" s="117"/>
      <c r="N288" s="117"/>
      <c r="O288" s="117"/>
      <c r="P288" s="117"/>
      <c r="Q288" s="117"/>
      <c r="R288" s="63"/>
      <c r="S288" s="117"/>
      <c r="T288" s="117"/>
      <c r="U288" s="117"/>
      <c r="V288" s="117"/>
      <c r="W288" s="117"/>
      <c r="X288" s="117"/>
      <c r="Y288" s="117"/>
      <c r="Z288" s="117"/>
      <c r="AA288" s="117"/>
      <c r="AB288" s="117"/>
      <c r="AC288" s="117"/>
      <c r="AD288" s="117"/>
      <c r="AE288" s="117"/>
      <c r="AF288" s="74"/>
      <c r="AG288" s="117"/>
      <c r="AH288" s="117"/>
      <c r="AI288" s="117"/>
      <c r="AJ288" s="117"/>
      <c r="AK288" s="117"/>
      <c r="AL288" s="117"/>
      <c r="AM288" s="117"/>
      <c r="AN288" s="117"/>
      <c r="AO288" s="117"/>
      <c r="AP288" s="117"/>
      <c r="AQ288" s="117"/>
      <c r="AR288" s="117"/>
      <c r="AS288" s="145"/>
      <c r="AU288" s="117"/>
      <c r="AV288" s="45"/>
      <c r="AY288" s="162"/>
      <c r="BF288" s="45"/>
      <c r="BG288" s="246"/>
      <c r="BI288" s="138"/>
      <c r="BJ288" s="54"/>
      <c r="BK288" s="74"/>
      <c r="BL288" s="117"/>
      <c r="BM288" s="117"/>
      <c r="BN288" s="117"/>
      <c r="BO288" s="117"/>
      <c r="BP288" s="117"/>
      <c r="BQ288" s="117"/>
      <c r="BR288" s="117"/>
      <c r="BS288" s="117"/>
      <c r="BT288" s="117"/>
      <c r="BU288" s="117"/>
      <c r="BV288" s="117"/>
      <c r="BW288" s="117"/>
      <c r="BX288" s="117"/>
      <c r="BY288" s="117"/>
      <c r="CA288" s="102"/>
      <c r="CC288" s="86"/>
      <c r="CE288" s="102"/>
      <c r="CJ288" s="86"/>
      <c r="CP288" s="63"/>
      <c r="CQ288" s="54"/>
      <c r="CX288" s="86"/>
      <c r="DM288" s="342"/>
      <c r="DO288" s="63"/>
      <c r="DP288" s="86"/>
      <c r="ED288" s="54"/>
      <c r="EF288" s="63"/>
      <c r="EG288" s="86"/>
      <c r="EP288" s="63"/>
      <c r="EQ288" s="54"/>
      <c r="ER288" s="86"/>
      <c r="FF288" s="54"/>
      <c r="FG288" s="86"/>
      <c r="FO288" s="45"/>
      <c r="FT288" s="86"/>
      <c r="FW288" s="63"/>
      <c r="FX288" s="54"/>
      <c r="GB288" s="86"/>
      <c r="GK288" s="45"/>
      <c r="GL288" s="54"/>
      <c r="GS288" s="86"/>
      <c r="HC288" s="63"/>
      <c r="HJ288" s="86"/>
      <c r="HT288" s="63"/>
      <c r="HZ288" s="54"/>
      <c r="IA288" s="86"/>
      <c r="IJ288" s="54"/>
      <c r="IK288" s="86"/>
    </row>
    <row r="289" spans="1:245">
      <c r="A289" s="86">
        <v>259</v>
      </c>
      <c r="B289" s="117"/>
      <c r="C289" s="117"/>
      <c r="D289" s="117"/>
      <c r="E289" s="117"/>
      <c r="K289" s="117"/>
      <c r="L289" s="117"/>
      <c r="M289" s="117"/>
      <c r="N289" s="117"/>
      <c r="O289" s="117"/>
      <c r="P289" s="117"/>
      <c r="Q289" s="117"/>
      <c r="R289" s="63"/>
      <c r="S289" s="117"/>
      <c r="T289" s="117"/>
      <c r="U289" s="117"/>
      <c r="V289" s="117"/>
      <c r="W289" s="117"/>
      <c r="X289" s="117"/>
      <c r="Y289" s="117"/>
      <c r="Z289" s="117"/>
      <c r="AA289" s="117"/>
      <c r="AB289" s="117"/>
      <c r="AC289" s="117"/>
      <c r="AD289" s="117"/>
      <c r="AE289" s="117"/>
      <c r="AF289" s="74"/>
      <c r="AG289" s="117"/>
      <c r="AH289" s="117"/>
      <c r="AI289" s="117"/>
      <c r="AJ289" s="117"/>
      <c r="AK289" s="117"/>
      <c r="AL289" s="117"/>
      <c r="AM289" s="117"/>
      <c r="AN289" s="117"/>
      <c r="AO289" s="117"/>
      <c r="AP289" s="117"/>
      <c r="AQ289" s="117"/>
      <c r="AR289" s="117"/>
      <c r="AS289" s="145"/>
      <c r="AU289" s="117"/>
      <c r="AV289" s="45"/>
      <c r="AY289" s="162"/>
      <c r="BF289" s="45"/>
      <c r="BG289" s="246"/>
      <c r="BI289" s="138"/>
      <c r="BJ289" s="54"/>
      <c r="BK289" s="74"/>
      <c r="BL289" s="117"/>
      <c r="BM289" s="117"/>
      <c r="BN289" s="117"/>
      <c r="BO289" s="117"/>
      <c r="BP289" s="117"/>
      <c r="BQ289" s="117"/>
      <c r="BR289" s="117"/>
      <c r="BS289" s="117"/>
      <c r="BT289" s="117"/>
      <c r="BU289" s="117"/>
      <c r="BV289" s="117"/>
      <c r="BW289" s="117"/>
      <c r="BX289" s="117"/>
      <c r="BY289" s="117"/>
      <c r="CA289" s="102"/>
      <c r="CC289" s="86"/>
      <c r="CE289" s="102"/>
      <c r="CJ289" s="86"/>
      <c r="CP289" s="63"/>
      <c r="CQ289" s="54"/>
      <c r="CX289" s="86"/>
      <c r="DM289" s="342"/>
      <c r="DO289" s="63"/>
      <c r="DP289" s="86"/>
      <c r="ED289" s="54"/>
      <c r="EF289" s="63"/>
      <c r="EG289" s="86"/>
      <c r="EP289" s="63"/>
      <c r="EQ289" s="54"/>
      <c r="ER289" s="86"/>
      <c r="FF289" s="54"/>
      <c r="FG289" s="86"/>
      <c r="FO289" s="45"/>
      <c r="FT289" s="86"/>
      <c r="FW289" s="63"/>
      <c r="FX289" s="54"/>
      <c r="GB289" s="86"/>
      <c r="GK289" s="45"/>
      <c r="GL289" s="54"/>
      <c r="GS289" s="86"/>
      <c r="HC289" s="63"/>
      <c r="HJ289" s="86"/>
      <c r="HT289" s="63"/>
      <c r="HZ289" s="54"/>
      <c r="IA289" s="86"/>
      <c r="IJ289" s="54"/>
      <c r="IK289" s="86"/>
    </row>
    <row r="290" spans="1:245">
      <c r="A290" s="86">
        <v>260</v>
      </c>
      <c r="B290" s="117"/>
      <c r="C290" s="117"/>
      <c r="D290" s="117"/>
      <c r="E290" s="117"/>
      <c r="K290" s="117"/>
      <c r="L290" s="117"/>
      <c r="M290" s="117"/>
      <c r="N290" s="117"/>
      <c r="O290" s="117"/>
      <c r="P290" s="117"/>
      <c r="Q290" s="117"/>
      <c r="R290" s="63"/>
      <c r="S290" s="117"/>
      <c r="T290" s="117"/>
      <c r="U290" s="117"/>
      <c r="V290" s="117"/>
      <c r="W290" s="117"/>
      <c r="X290" s="117"/>
      <c r="Y290" s="117"/>
      <c r="Z290" s="117"/>
      <c r="AA290" s="117"/>
      <c r="AB290" s="117"/>
      <c r="AC290" s="117"/>
      <c r="AD290" s="117"/>
      <c r="AE290" s="117"/>
      <c r="AF290" s="74"/>
      <c r="AG290" s="117"/>
      <c r="AH290" s="117"/>
      <c r="AI290" s="117"/>
      <c r="AJ290" s="117"/>
      <c r="AK290" s="117"/>
      <c r="AL290" s="117"/>
      <c r="AM290" s="117"/>
      <c r="AN290" s="117"/>
      <c r="AO290" s="117"/>
      <c r="AP290" s="117"/>
      <c r="AQ290" s="117"/>
      <c r="AR290" s="117"/>
      <c r="AS290" s="145"/>
      <c r="AU290" s="117"/>
      <c r="AV290" s="45"/>
      <c r="AY290" s="162"/>
      <c r="BF290" s="45"/>
      <c r="BG290" s="246"/>
      <c r="BI290" s="138"/>
      <c r="BJ290" s="54"/>
      <c r="BK290" s="74"/>
      <c r="BL290" s="117"/>
      <c r="BM290" s="117"/>
      <c r="BN290" s="117"/>
      <c r="BO290" s="117"/>
      <c r="BP290" s="117"/>
      <c r="BQ290" s="117"/>
      <c r="BR290" s="117"/>
      <c r="BS290" s="117"/>
      <c r="BT290" s="117"/>
      <c r="BU290" s="117"/>
      <c r="BV290" s="117"/>
      <c r="BW290" s="117"/>
      <c r="BX290" s="117"/>
      <c r="BY290" s="117"/>
      <c r="CA290" s="102"/>
      <c r="CC290" s="86"/>
      <c r="CE290" s="102"/>
      <c r="CJ290" s="86"/>
      <c r="CP290" s="63"/>
      <c r="CQ290" s="54"/>
      <c r="CX290" s="86"/>
      <c r="DM290" s="342"/>
      <c r="DO290" s="63"/>
      <c r="DP290" s="86"/>
      <c r="ED290" s="54"/>
      <c r="EF290" s="63"/>
      <c r="EG290" s="86"/>
      <c r="EP290" s="63"/>
      <c r="EQ290" s="54"/>
      <c r="ER290" s="86"/>
      <c r="FF290" s="54"/>
      <c r="FG290" s="86"/>
      <c r="FO290" s="45"/>
      <c r="FT290" s="86"/>
      <c r="FW290" s="63"/>
      <c r="FX290" s="54"/>
      <c r="GB290" s="86"/>
      <c r="GK290" s="45"/>
      <c r="GL290" s="54"/>
      <c r="GS290" s="86"/>
      <c r="HC290" s="63"/>
      <c r="HJ290" s="86"/>
      <c r="HT290" s="63"/>
      <c r="HZ290" s="54"/>
      <c r="IA290" s="86"/>
      <c r="IJ290" s="54"/>
      <c r="IK290" s="86"/>
    </row>
    <row r="291" spans="1:245">
      <c r="A291" s="86">
        <v>261</v>
      </c>
      <c r="B291" s="117"/>
      <c r="C291" s="117"/>
      <c r="D291" s="117"/>
      <c r="E291" s="117"/>
      <c r="K291" s="117"/>
      <c r="L291" s="117"/>
      <c r="M291" s="117"/>
      <c r="N291" s="117"/>
      <c r="O291" s="117"/>
      <c r="P291" s="117"/>
      <c r="Q291" s="117"/>
      <c r="R291" s="63"/>
      <c r="S291" s="117"/>
      <c r="T291" s="117"/>
      <c r="U291" s="117"/>
      <c r="V291" s="117"/>
      <c r="W291" s="117"/>
      <c r="X291" s="117"/>
      <c r="Y291" s="117"/>
      <c r="Z291" s="117"/>
      <c r="AA291" s="117"/>
      <c r="AB291" s="117"/>
      <c r="AC291" s="117"/>
      <c r="AD291" s="117"/>
      <c r="AE291" s="117"/>
      <c r="AF291" s="74"/>
      <c r="AG291" s="117"/>
      <c r="AH291" s="117"/>
      <c r="AI291" s="117"/>
      <c r="AJ291" s="117"/>
      <c r="AK291" s="117"/>
      <c r="AL291" s="117"/>
      <c r="AM291" s="117"/>
      <c r="AN291" s="117"/>
      <c r="AO291" s="117"/>
      <c r="AP291" s="117"/>
      <c r="AQ291" s="117"/>
      <c r="AR291" s="117"/>
      <c r="AS291" s="145"/>
      <c r="AU291" s="117"/>
      <c r="AV291" s="45"/>
      <c r="AY291" s="162"/>
      <c r="BF291" s="45"/>
      <c r="BG291" s="246"/>
      <c r="BI291" s="138"/>
      <c r="BJ291" s="54"/>
      <c r="BK291" s="74"/>
      <c r="BL291" s="117"/>
      <c r="BM291" s="117"/>
      <c r="BN291" s="117"/>
      <c r="BO291" s="117"/>
      <c r="BP291" s="117"/>
      <c r="BQ291" s="117"/>
      <c r="BR291" s="117"/>
      <c r="BS291" s="117"/>
      <c r="BT291" s="117"/>
      <c r="BU291" s="117"/>
      <c r="BV291" s="117"/>
      <c r="BW291" s="117"/>
      <c r="BX291" s="117"/>
      <c r="BY291" s="117"/>
      <c r="CA291" s="102"/>
      <c r="CC291" s="86"/>
      <c r="CE291" s="102"/>
      <c r="CJ291" s="86"/>
      <c r="CP291" s="63"/>
      <c r="CQ291" s="54"/>
      <c r="CX291" s="86"/>
      <c r="DM291" s="342"/>
      <c r="DO291" s="63"/>
      <c r="DP291" s="86"/>
      <c r="ED291" s="54"/>
      <c r="EF291" s="63"/>
      <c r="EG291" s="86"/>
      <c r="EP291" s="63"/>
      <c r="EQ291" s="54"/>
      <c r="ER291" s="86"/>
      <c r="FF291" s="54"/>
      <c r="FG291" s="86"/>
      <c r="FO291" s="45"/>
      <c r="FT291" s="86"/>
      <c r="FW291" s="63"/>
      <c r="FX291" s="54"/>
      <c r="GB291" s="86"/>
      <c r="GK291" s="45"/>
      <c r="GL291" s="54"/>
      <c r="GS291" s="86"/>
      <c r="HC291" s="63"/>
      <c r="HJ291" s="86"/>
      <c r="HT291" s="63"/>
      <c r="HZ291" s="54"/>
      <c r="IA291" s="86"/>
      <c r="IJ291" s="54"/>
      <c r="IK291" s="86"/>
    </row>
    <row r="292" spans="1:245">
      <c r="A292" s="86">
        <v>262</v>
      </c>
      <c r="B292" s="117"/>
      <c r="C292" s="117"/>
      <c r="D292" s="117"/>
      <c r="E292" s="117"/>
      <c r="K292" s="117"/>
      <c r="L292" s="117"/>
      <c r="M292" s="117"/>
      <c r="N292" s="117"/>
      <c r="O292" s="117"/>
      <c r="P292" s="117"/>
      <c r="Q292" s="117"/>
      <c r="R292" s="63"/>
      <c r="S292" s="117"/>
      <c r="T292" s="117"/>
      <c r="U292" s="117"/>
      <c r="V292" s="117"/>
      <c r="W292" s="117"/>
      <c r="X292" s="117"/>
      <c r="Y292" s="117"/>
      <c r="Z292" s="117"/>
      <c r="AA292" s="117"/>
      <c r="AB292" s="117"/>
      <c r="AC292" s="117"/>
      <c r="AD292" s="117"/>
      <c r="AE292" s="117"/>
      <c r="AF292" s="74"/>
      <c r="AG292" s="117"/>
      <c r="AH292" s="117"/>
      <c r="AI292" s="117"/>
      <c r="AJ292" s="117"/>
      <c r="AK292" s="117"/>
      <c r="AL292" s="117"/>
      <c r="AM292" s="117"/>
      <c r="AN292" s="117"/>
      <c r="AO292" s="117"/>
      <c r="AP292" s="117"/>
      <c r="AQ292" s="117"/>
      <c r="AR292" s="117"/>
      <c r="AS292" s="145"/>
      <c r="AU292" s="117"/>
      <c r="AV292" s="45"/>
      <c r="AY292" s="162"/>
      <c r="BF292" s="45"/>
      <c r="BG292" s="246"/>
      <c r="BI292" s="138"/>
      <c r="BJ292" s="54"/>
      <c r="BK292" s="74"/>
      <c r="BL292" s="117"/>
      <c r="BM292" s="117"/>
      <c r="BN292" s="117"/>
      <c r="BO292" s="117"/>
      <c r="BP292" s="117"/>
      <c r="BQ292" s="117"/>
      <c r="BR292" s="117"/>
      <c r="BS292" s="117"/>
      <c r="BT292" s="117"/>
      <c r="BU292" s="117"/>
      <c r="BV292" s="117"/>
      <c r="BW292" s="117"/>
      <c r="BX292" s="117"/>
      <c r="BY292" s="117"/>
      <c r="CA292" s="102"/>
      <c r="CC292" s="86"/>
      <c r="CE292" s="102"/>
      <c r="CJ292" s="86"/>
      <c r="CP292" s="63"/>
      <c r="CQ292" s="54"/>
      <c r="CX292" s="86"/>
      <c r="DM292" s="342"/>
      <c r="DO292" s="63"/>
      <c r="DP292" s="86"/>
      <c r="ED292" s="54"/>
      <c r="EF292" s="63"/>
      <c r="EG292" s="86"/>
      <c r="EP292" s="63"/>
      <c r="EQ292" s="54"/>
      <c r="ER292" s="86"/>
      <c r="FF292" s="54"/>
      <c r="FG292" s="86"/>
      <c r="FO292" s="45"/>
      <c r="FT292" s="86"/>
      <c r="FW292" s="63"/>
      <c r="FX292" s="54"/>
      <c r="GB292" s="86"/>
      <c r="GK292" s="45"/>
      <c r="GL292" s="54"/>
      <c r="GS292" s="86"/>
      <c r="HC292" s="63"/>
      <c r="HJ292" s="86"/>
      <c r="HT292" s="63"/>
      <c r="HZ292" s="54"/>
      <c r="IA292" s="86"/>
      <c r="IJ292" s="54"/>
      <c r="IK292" s="86"/>
    </row>
    <row r="293" spans="1:245">
      <c r="A293" s="86">
        <v>263</v>
      </c>
      <c r="B293" s="117"/>
      <c r="C293" s="117"/>
      <c r="D293" s="117"/>
      <c r="E293" s="117"/>
      <c r="K293" s="117"/>
      <c r="L293" s="117"/>
      <c r="M293" s="117"/>
      <c r="N293" s="117"/>
      <c r="O293" s="117"/>
      <c r="P293" s="117"/>
      <c r="Q293" s="117"/>
      <c r="R293" s="63"/>
      <c r="S293" s="117"/>
      <c r="T293" s="117"/>
      <c r="U293" s="117"/>
      <c r="V293" s="117"/>
      <c r="W293" s="117"/>
      <c r="X293" s="117"/>
      <c r="Y293" s="117"/>
      <c r="Z293" s="117"/>
      <c r="AA293" s="117"/>
      <c r="AB293" s="117"/>
      <c r="AC293" s="117"/>
      <c r="AD293" s="117"/>
      <c r="AE293" s="117"/>
      <c r="AF293" s="74"/>
      <c r="AG293" s="117"/>
      <c r="AH293" s="117"/>
      <c r="AI293" s="117"/>
      <c r="AJ293" s="117"/>
      <c r="AK293" s="117"/>
      <c r="AL293" s="117"/>
      <c r="AM293" s="117"/>
      <c r="AN293" s="117"/>
      <c r="AO293" s="117"/>
      <c r="AP293" s="117"/>
      <c r="AQ293" s="117"/>
      <c r="AR293" s="117"/>
      <c r="AS293" s="145"/>
      <c r="AU293" s="117"/>
      <c r="AV293" s="45"/>
      <c r="AY293" s="162"/>
      <c r="BF293" s="45"/>
      <c r="BG293" s="246"/>
      <c r="BI293" s="138"/>
      <c r="BJ293" s="54"/>
      <c r="BK293" s="74"/>
      <c r="BL293" s="117"/>
      <c r="BM293" s="117"/>
      <c r="BN293" s="117"/>
      <c r="BO293" s="117"/>
      <c r="BP293" s="117"/>
      <c r="BQ293" s="117"/>
      <c r="BR293" s="117"/>
      <c r="BS293" s="117"/>
      <c r="BT293" s="117"/>
      <c r="BU293" s="117"/>
      <c r="BV293" s="117"/>
      <c r="BW293" s="117"/>
      <c r="BX293" s="117"/>
      <c r="BY293" s="117"/>
      <c r="CA293" s="102"/>
      <c r="CC293" s="86"/>
      <c r="CE293" s="102"/>
      <c r="CJ293" s="86"/>
      <c r="CP293" s="63"/>
      <c r="CQ293" s="54"/>
      <c r="CX293" s="86"/>
      <c r="DM293" s="342"/>
      <c r="DO293" s="63"/>
      <c r="DP293" s="86"/>
      <c r="ED293" s="54"/>
      <c r="EF293" s="63"/>
      <c r="EG293" s="86"/>
      <c r="EP293" s="63"/>
      <c r="EQ293" s="54"/>
      <c r="ER293" s="86"/>
      <c r="FF293" s="54"/>
      <c r="FG293" s="86"/>
      <c r="FO293" s="45"/>
      <c r="FT293" s="86"/>
      <c r="FW293" s="63"/>
      <c r="FX293" s="54"/>
      <c r="GB293" s="86"/>
      <c r="GK293" s="45"/>
      <c r="GL293" s="54"/>
      <c r="GS293" s="86"/>
      <c r="HC293" s="63"/>
      <c r="HJ293" s="86"/>
      <c r="HT293" s="63"/>
      <c r="HZ293" s="54"/>
      <c r="IA293" s="86"/>
      <c r="IJ293" s="54"/>
      <c r="IK293" s="86"/>
    </row>
    <row r="294" spans="1:245">
      <c r="A294" s="86">
        <v>264</v>
      </c>
      <c r="B294" s="117"/>
      <c r="C294" s="117"/>
      <c r="D294" s="117"/>
      <c r="E294" s="117"/>
      <c r="K294" s="117"/>
      <c r="L294" s="117"/>
      <c r="M294" s="117"/>
      <c r="N294" s="117"/>
      <c r="O294" s="117"/>
      <c r="P294" s="117"/>
      <c r="Q294" s="117"/>
      <c r="R294" s="63"/>
      <c r="S294" s="117"/>
      <c r="T294" s="117"/>
      <c r="U294" s="117"/>
      <c r="V294" s="117"/>
      <c r="W294" s="117"/>
      <c r="X294" s="117"/>
      <c r="Y294" s="117"/>
      <c r="Z294" s="117"/>
      <c r="AA294" s="117"/>
      <c r="AB294" s="117"/>
      <c r="AC294" s="117"/>
      <c r="AD294" s="117"/>
      <c r="AE294" s="117"/>
      <c r="AF294" s="74"/>
      <c r="AG294" s="117"/>
      <c r="AH294" s="117"/>
      <c r="AI294" s="117"/>
      <c r="AJ294" s="117"/>
      <c r="AK294" s="117"/>
      <c r="AL294" s="117"/>
      <c r="AM294" s="117"/>
      <c r="AN294" s="117"/>
      <c r="AO294" s="117"/>
      <c r="AP294" s="117"/>
      <c r="AQ294" s="117"/>
      <c r="AR294" s="117"/>
      <c r="AS294" s="145"/>
      <c r="AU294" s="117"/>
      <c r="AV294" s="45"/>
      <c r="AY294" s="162"/>
      <c r="BF294" s="45"/>
      <c r="BG294" s="246"/>
      <c r="BI294" s="138"/>
      <c r="BJ294" s="54"/>
      <c r="BK294" s="74"/>
      <c r="BL294" s="117"/>
      <c r="BM294" s="117"/>
      <c r="BN294" s="117"/>
      <c r="BO294" s="117"/>
      <c r="BP294" s="117"/>
      <c r="BQ294" s="117"/>
      <c r="BR294" s="117"/>
      <c r="BS294" s="117"/>
      <c r="BT294" s="117"/>
      <c r="BU294" s="117"/>
      <c r="BV294" s="117"/>
      <c r="BW294" s="117"/>
      <c r="BX294" s="117"/>
      <c r="BY294" s="117"/>
      <c r="CA294" s="102"/>
      <c r="CC294" s="86"/>
      <c r="CE294" s="102"/>
      <c r="CJ294" s="86"/>
      <c r="CP294" s="63"/>
      <c r="CQ294" s="54"/>
      <c r="CX294" s="86"/>
      <c r="DM294" s="342"/>
      <c r="DO294" s="63"/>
      <c r="DP294" s="86"/>
      <c r="ED294" s="54"/>
      <c r="EF294" s="63"/>
      <c r="EG294" s="86"/>
      <c r="EP294" s="63"/>
      <c r="EQ294" s="54"/>
      <c r="ER294" s="86"/>
      <c r="FF294" s="54"/>
      <c r="FG294" s="86"/>
      <c r="FO294" s="45"/>
      <c r="FT294" s="86"/>
      <c r="FW294" s="63"/>
      <c r="FX294" s="54"/>
      <c r="GB294" s="86"/>
      <c r="GK294" s="45"/>
      <c r="GL294" s="54"/>
      <c r="GS294" s="86"/>
      <c r="HC294" s="63"/>
      <c r="HJ294" s="86"/>
      <c r="HT294" s="63"/>
      <c r="HZ294" s="54"/>
      <c r="IA294" s="86"/>
      <c r="IJ294" s="54"/>
      <c r="IK294" s="86"/>
    </row>
    <row r="295" spans="1:245">
      <c r="A295" s="86">
        <v>265</v>
      </c>
      <c r="B295" s="117"/>
      <c r="C295" s="117"/>
      <c r="D295" s="117"/>
      <c r="E295" s="117"/>
      <c r="K295" s="117"/>
      <c r="L295" s="117"/>
      <c r="M295" s="117"/>
      <c r="N295" s="117"/>
      <c r="O295" s="117"/>
      <c r="P295" s="117"/>
      <c r="Q295" s="117"/>
      <c r="R295" s="63"/>
      <c r="S295" s="117"/>
      <c r="T295" s="117"/>
      <c r="U295" s="117"/>
      <c r="V295" s="117"/>
      <c r="W295" s="117"/>
      <c r="X295" s="117"/>
      <c r="Y295" s="117"/>
      <c r="Z295" s="117"/>
      <c r="AA295" s="117"/>
      <c r="AB295" s="117"/>
      <c r="AC295" s="117"/>
      <c r="AD295" s="117"/>
      <c r="AE295" s="117"/>
      <c r="AF295" s="74"/>
      <c r="AG295" s="117"/>
      <c r="AH295" s="117"/>
      <c r="AI295" s="117"/>
      <c r="AJ295" s="117"/>
      <c r="AK295" s="117"/>
      <c r="AL295" s="117"/>
      <c r="AM295" s="117"/>
      <c r="AN295" s="117"/>
      <c r="AO295" s="117"/>
      <c r="AP295" s="117"/>
      <c r="AQ295" s="117"/>
      <c r="AR295" s="117"/>
      <c r="AS295" s="145"/>
      <c r="AU295" s="117"/>
      <c r="AV295" s="45"/>
      <c r="AY295" s="162"/>
      <c r="BF295" s="45"/>
      <c r="BG295" s="246"/>
      <c r="BI295" s="138"/>
      <c r="BJ295" s="54"/>
      <c r="BK295" s="74"/>
      <c r="BL295" s="117"/>
      <c r="BM295" s="117"/>
      <c r="BN295" s="117"/>
      <c r="BO295" s="117"/>
      <c r="BP295" s="117"/>
      <c r="BQ295" s="117"/>
      <c r="BR295" s="117"/>
      <c r="BS295" s="117"/>
      <c r="BT295" s="117"/>
      <c r="BU295" s="117"/>
      <c r="BV295" s="117"/>
      <c r="BW295" s="117"/>
      <c r="BX295" s="117"/>
      <c r="BY295" s="117"/>
      <c r="CA295" s="102"/>
      <c r="CC295" s="86"/>
      <c r="CE295" s="102"/>
      <c r="CJ295" s="86"/>
      <c r="CP295" s="63"/>
      <c r="CQ295" s="54"/>
      <c r="CX295" s="86"/>
      <c r="DM295" s="342"/>
      <c r="DO295" s="63"/>
      <c r="DP295" s="86"/>
      <c r="ED295" s="54"/>
      <c r="EF295" s="63"/>
      <c r="EG295" s="86"/>
      <c r="EP295" s="63"/>
      <c r="EQ295" s="54"/>
      <c r="ER295" s="86"/>
      <c r="FF295" s="54"/>
      <c r="FG295" s="86"/>
      <c r="FO295" s="45"/>
      <c r="FT295" s="86"/>
      <c r="FW295" s="63"/>
      <c r="FX295" s="54"/>
      <c r="GB295" s="86"/>
      <c r="GK295" s="45"/>
      <c r="GL295" s="54"/>
      <c r="GS295" s="86"/>
      <c r="HC295" s="63"/>
      <c r="HJ295" s="86"/>
      <c r="HT295" s="63"/>
      <c r="HZ295" s="54"/>
      <c r="IA295" s="86"/>
      <c r="IJ295" s="54"/>
      <c r="IK295" s="86"/>
    </row>
    <row r="296" spans="1:245">
      <c r="A296" s="86">
        <v>266</v>
      </c>
      <c r="B296" s="117"/>
      <c r="C296" s="117"/>
      <c r="D296" s="117"/>
      <c r="E296" s="117"/>
      <c r="K296" s="117"/>
      <c r="L296" s="117"/>
      <c r="M296" s="117"/>
      <c r="N296" s="117"/>
      <c r="O296" s="117"/>
      <c r="P296" s="117"/>
      <c r="Q296" s="117"/>
      <c r="R296" s="63"/>
      <c r="S296" s="117"/>
      <c r="T296" s="117"/>
      <c r="U296" s="117"/>
      <c r="V296" s="117"/>
      <c r="W296" s="117"/>
      <c r="X296" s="117"/>
      <c r="Y296" s="117"/>
      <c r="Z296" s="117"/>
      <c r="AA296" s="117"/>
      <c r="AB296" s="117"/>
      <c r="AC296" s="117"/>
      <c r="AD296" s="117"/>
      <c r="AE296" s="117"/>
      <c r="AF296" s="74"/>
      <c r="AG296" s="117"/>
      <c r="AH296" s="117"/>
      <c r="AI296" s="117"/>
      <c r="AJ296" s="117"/>
      <c r="AK296" s="117"/>
      <c r="AL296" s="117"/>
      <c r="AM296" s="117"/>
      <c r="AN296" s="117"/>
      <c r="AO296" s="117"/>
      <c r="AP296" s="117"/>
      <c r="AQ296" s="117"/>
      <c r="AR296" s="117"/>
      <c r="AS296" s="145"/>
      <c r="AU296" s="117"/>
      <c r="AV296" s="45"/>
      <c r="AY296" s="162"/>
      <c r="BF296" s="45"/>
      <c r="BG296" s="246"/>
      <c r="BI296" s="138"/>
      <c r="BJ296" s="54"/>
      <c r="BK296" s="74"/>
      <c r="BL296" s="117"/>
      <c r="BM296" s="117"/>
      <c r="BN296" s="117"/>
      <c r="BO296" s="117"/>
      <c r="BP296" s="117"/>
      <c r="BQ296" s="117"/>
      <c r="BR296" s="117"/>
      <c r="BS296" s="117"/>
      <c r="BT296" s="117"/>
      <c r="BU296" s="117"/>
      <c r="BV296" s="117"/>
      <c r="BW296" s="117"/>
      <c r="BX296" s="117"/>
      <c r="BY296" s="117"/>
      <c r="CA296" s="102"/>
      <c r="CC296" s="86"/>
      <c r="CE296" s="102"/>
      <c r="CJ296" s="86"/>
      <c r="CP296" s="63"/>
      <c r="CQ296" s="54"/>
      <c r="CX296" s="86"/>
      <c r="DM296" s="342"/>
      <c r="DO296" s="63"/>
      <c r="DP296" s="86"/>
      <c r="ED296" s="54"/>
      <c r="EF296" s="63"/>
      <c r="EG296" s="86"/>
      <c r="EP296" s="63"/>
      <c r="EQ296" s="54"/>
      <c r="ER296" s="86"/>
      <c r="FF296" s="54"/>
      <c r="FG296" s="86"/>
      <c r="FO296" s="45"/>
      <c r="FT296" s="86"/>
      <c r="FW296" s="63"/>
      <c r="FX296" s="54"/>
      <c r="GB296" s="86"/>
      <c r="GK296" s="45"/>
      <c r="GL296" s="54"/>
      <c r="GS296" s="86"/>
      <c r="HC296" s="63"/>
      <c r="HJ296" s="86"/>
      <c r="HT296" s="63"/>
      <c r="HZ296" s="54"/>
      <c r="IA296" s="86"/>
      <c r="IJ296" s="54"/>
      <c r="IK296" s="86"/>
    </row>
    <row r="297" spans="1:245">
      <c r="A297" s="86">
        <v>267</v>
      </c>
      <c r="B297" s="117"/>
      <c r="C297" s="117"/>
      <c r="D297" s="117"/>
      <c r="E297" s="117"/>
      <c r="K297" s="117"/>
      <c r="L297" s="117"/>
      <c r="M297" s="117"/>
      <c r="N297" s="117"/>
      <c r="O297" s="117"/>
      <c r="P297" s="117"/>
      <c r="Q297" s="117"/>
      <c r="R297" s="63"/>
      <c r="S297" s="117"/>
      <c r="T297" s="117"/>
      <c r="U297" s="117"/>
      <c r="V297" s="117"/>
      <c r="W297" s="117"/>
      <c r="X297" s="117"/>
      <c r="Y297" s="117"/>
      <c r="Z297" s="117"/>
      <c r="AA297" s="117"/>
      <c r="AB297" s="117"/>
      <c r="AC297" s="117"/>
      <c r="AD297" s="117"/>
      <c r="AE297" s="117"/>
      <c r="AF297" s="74"/>
      <c r="AG297" s="117"/>
      <c r="AH297" s="117"/>
      <c r="AI297" s="117"/>
      <c r="AJ297" s="117"/>
      <c r="AK297" s="117"/>
      <c r="AL297" s="117"/>
      <c r="AM297" s="117"/>
      <c r="AN297" s="117"/>
      <c r="AO297" s="117"/>
      <c r="AP297" s="117"/>
      <c r="AQ297" s="117"/>
      <c r="AR297" s="117"/>
      <c r="AS297" s="145"/>
      <c r="AU297" s="117"/>
      <c r="AV297" s="45"/>
      <c r="AY297" s="162"/>
      <c r="BF297" s="45"/>
      <c r="BG297" s="246"/>
      <c r="BI297" s="138"/>
      <c r="BJ297" s="54"/>
      <c r="BK297" s="74"/>
      <c r="BL297" s="117"/>
      <c r="BM297" s="117"/>
      <c r="BN297" s="117"/>
      <c r="BO297" s="117"/>
      <c r="BP297" s="117"/>
      <c r="BQ297" s="117"/>
      <c r="BR297" s="117"/>
      <c r="BS297" s="117"/>
      <c r="BT297" s="117"/>
      <c r="BU297" s="117"/>
      <c r="BV297" s="117"/>
      <c r="BW297" s="117"/>
      <c r="BX297" s="117"/>
      <c r="BY297" s="117"/>
      <c r="CA297" s="102"/>
      <c r="CC297" s="86"/>
      <c r="CE297" s="102"/>
      <c r="CJ297" s="86"/>
      <c r="CP297" s="63"/>
      <c r="CQ297" s="54"/>
      <c r="CX297" s="86"/>
      <c r="DM297" s="342"/>
      <c r="DO297" s="63"/>
      <c r="DP297" s="86"/>
      <c r="ED297" s="54"/>
      <c r="EF297" s="63"/>
      <c r="EG297" s="86"/>
      <c r="EP297" s="63"/>
      <c r="EQ297" s="54"/>
      <c r="ER297" s="86"/>
      <c r="FF297" s="54"/>
      <c r="FG297" s="86"/>
      <c r="FO297" s="45"/>
      <c r="FT297" s="86"/>
      <c r="FW297" s="63"/>
      <c r="FX297" s="54"/>
      <c r="GB297" s="86"/>
      <c r="GK297" s="45"/>
      <c r="GL297" s="54"/>
      <c r="GS297" s="86"/>
      <c r="HC297" s="63"/>
      <c r="HJ297" s="86"/>
      <c r="HT297" s="63"/>
      <c r="HZ297" s="54"/>
      <c r="IA297" s="86"/>
      <c r="IJ297" s="54"/>
      <c r="IK297" s="86"/>
    </row>
    <row r="298" spans="1:245">
      <c r="A298" s="86">
        <v>268</v>
      </c>
      <c r="B298" s="117"/>
      <c r="C298" s="117"/>
      <c r="D298" s="117"/>
      <c r="E298" s="117"/>
      <c r="K298" s="117"/>
      <c r="L298" s="117"/>
      <c r="M298" s="117"/>
      <c r="N298" s="117"/>
      <c r="O298" s="117"/>
      <c r="P298" s="117"/>
      <c r="Q298" s="117"/>
      <c r="R298" s="63"/>
      <c r="S298" s="117"/>
      <c r="T298" s="117"/>
      <c r="U298" s="117"/>
      <c r="V298" s="117"/>
      <c r="W298" s="117"/>
      <c r="X298" s="117"/>
      <c r="Y298" s="117"/>
      <c r="Z298" s="117"/>
      <c r="AA298" s="117"/>
      <c r="AB298" s="117"/>
      <c r="AC298" s="117"/>
      <c r="AD298" s="117"/>
      <c r="AE298" s="117"/>
      <c r="AF298" s="74"/>
      <c r="AG298" s="117"/>
      <c r="AH298" s="117"/>
      <c r="AI298" s="117"/>
      <c r="AJ298" s="117"/>
      <c r="AK298" s="117"/>
      <c r="AL298" s="117"/>
      <c r="AM298" s="117"/>
      <c r="AN298" s="117"/>
      <c r="AO298" s="117"/>
      <c r="AP298" s="117"/>
      <c r="AQ298" s="117"/>
      <c r="AR298" s="117"/>
      <c r="AS298" s="145"/>
      <c r="AU298" s="117"/>
      <c r="AV298" s="45"/>
      <c r="AY298" s="162"/>
      <c r="BF298" s="45"/>
      <c r="BG298" s="246"/>
      <c r="BI298" s="138"/>
      <c r="BJ298" s="54"/>
      <c r="BK298" s="74"/>
      <c r="BL298" s="117"/>
      <c r="BM298" s="117"/>
      <c r="BN298" s="117"/>
      <c r="BO298" s="117"/>
      <c r="BP298" s="117"/>
      <c r="BQ298" s="117"/>
      <c r="BR298" s="117"/>
      <c r="BS298" s="117"/>
      <c r="BT298" s="117"/>
      <c r="BU298" s="117"/>
      <c r="BV298" s="117"/>
      <c r="BW298" s="117"/>
      <c r="BX298" s="117"/>
      <c r="BY298" s="117"/>
      <c r="CA298" s="102"/>
      <c r="CC298" s="86"/>
      <c r="CE298" s="102"/>
      <c r="CJ298" s="86"/>
      <c r="CP298" s="63"/>
      <c r="CQ298" s="54"/>
      <c r="CX298" s="86"/>
      <c r="DM298" s="342"/>
      <c r="DO298" s="63"/>
      <c r="DP298" s="86"/>
      <c r="ED298" s="54"/>
      <c r="EF298" s="63"/>
      <c r="EG298" s="86"/>
      <c r="EP298" s="63"/>
      <c r="EQ298" s="54"/>
      <c r="ER298" s="86"/>
      <c r="FF298" s="54"/>
      <c r="FG298" s="86"/>
      <c r="FO298" s="45"/>
      <c r="FT298" s="86"/>
      <c r="FW298" s="63"/>
      <c r="FX298" s="54"/>
      <c r="GB298" s="86"/>
      <c r="GK298" s="45"/>
      <c r="GL298" s="54"/>
      <c r="GS298" s="86"/>
      <c r="HC298" s="63"/>
      <c r="HJ298" s="86"/>
      <c r="HT298" s="63"/>
      <c r="HZ298" s="54"/>
      <c r="IA298" s="86"/>
      <c r="IJ298" s="54"/>
      <c r="IK298" s="86"/>
    </row>
    <row r="299" spans="1:245">
      <c r="A299" s="86">
        <v>269</v>
      </c>
      <c r="B299" s="117"/>
      <c r="C299" s="117"/>
      <c r="D299" s="117"/>
      <c r="E299" s="117"/>
      <c r="K299" s="117"/>
      <c r="L299" s="117"/>
      <c r="M299" s="117"/>
      <c r="N299" s="117"/>
      <c r="O299" s="117"/>
      <c r="P299" s="117"/>
      <c r="Q299" s="117"/>
      <c r="R299" s="63"/>
      <c r="S299" s="117"/>
      <c r="T299" s="117"/>
      <c r="U299" s="117"/>
      <c r="V299" s="117"/>
      <c r="W299" s="117"/>
      <c r="X299" s="117"/>
      <c r="Y299" s="117"/>
      <c r="Z299" s="117"/>
      <c r="AA299" s="117"/>
      <c r="AB299" s="117"/>
      <c r="AC299" s="117"/>
      <c r="AD299" s="117"/>
      <c r="AE299" s="117"/>
      <c r="AF299" s="74"/>
      <c r="AG299" s="117"/>
      <c r="AH299" s="117"/>
      <c r="AI299" s="117"/>
      <c r="AJ299" s="117"/>
      <c r="AK299" s="117"/>
      <c r="AL299" s="117"/>
      <c r="AM299" s="117"/>
      <c r="AN299" s="117"/>
      <c r="AO299" s="117"/>
      <c r="AP299" s="117"/>
      <c r="AQ299" s="117"/>
      <c r="AR299" s="117"/>
      <c r="AS299" s="145"/>
      <c r="AU299" s="117"/>
      <c r="AV299" s="45"/>
      <c r="AY299" s="162"/>
      <c r="BF299" s="45"/>
      <c r="BG299" s="246"/>
      <c r="BI299" s="138"/>
      <c r="BJ299" s="54"/>
      <c r="BK299" s="74"/>
      <c r="BL299" s="117"/>
      <c r="BM299" s="117"/>
      <c r="BN299" s="117"/>
      <c r="BO299" s="117"/>
      <c r="BP299" s="117"/>
      <c r="BQ299" s="117"/>
      <c r="BR299" s="117"/>
      <c r="BS299" s="117"/>
      <c r="BT299" s="117"/>
      <c r="BU299" s="117"/>
      <c r="BV299" s="117"/>
      <c r="BW299" s="117"/>
      <c r="BX299" s="117"/>
      <c r="BY299" s="117"/>
      <c r="CA299" s="102"/>
      <c r="CC299" s="86"/>
      <c r="CE299" s="102"/>
      <c r="CJ299" s="86"/>
      <c r="CP299" s="63"/>
      <c r="CQ299" s="54"/>
      <c r="CX299" s="86"/>
      <c r="DM299" s="342"/>
      <c r="DO299" s="63"/>
      <c r="DP299" s="86"/>
      <c r="ED299" s="54"/>
      <c r="EF299" s="63"/>
      <c r="EG299" s="86"/>
      <c r="EP299" s="63"/>
      <c r="EQ299" s="54"/>
      <c r="ER299" s="86"/>
      <c r="FF299" s="54"/>
      <c r="FG299" s="86"/>
      <c r="FO299" s="45"/>
      <c r="FT299" s="86"/>
      <c r="FW299" s="63"/>
      <c r="FX299" s="54"/>
      <c r="GB299" s="86"/>
      <c r="GK299" s="45"/>
      <c r="GL299" s="54"/>
      <c r="GS299" s="86"/>
      <c r="HC299" s="63"/>
      <c r="HJ299" s="86"/>
      <c r="HT299" s="63"/>
      <c r="HZ299" s="54"/>
      <c r="IA299" s="86"/>
      <c r="IJ299" s="54"/>
      <c r="IK299" s="86"/>
    </row>
    <row r="300" spans="1:245">
      <c r="A300" s="86">
        <v>270</v>
      </c>
      <c r="B300" s="117"/>
      <c r="C300" s="117"/>
      <c r="D300" s="117"/>
      <c r="E300" s="117"/>
      <c r="K300" s="117"/>
      <c r="L300" s="117"/>
      <c r="M300" s="117"/>
      <c r="N300" s="117"/>
      <c r="O300" s="117"/>
      <c r="P300" s="117"/>
      <c r="Q300" s="117"/>
      <c r="R300" s="63"/>
      <c r="S300" s="117"/>
      <c r="T300" s="117"/>
      <c r="U300" s="117"/>
      <c r="V300" s="117"/>
      <c r="W300" s="117"/>
      <c r="X300" s="117"/>
      <c r="Y300" s="117"/>
      <c r="Z300" s="117"/>
      <c r="AA300" s="117"/>
      <c r="AB300" s="117"/>
      <c r="AC300" s="117"/>
      <c r="AD300" s="117"/>
      <c r="AE300" s="117"/>
      <c r="AF300" s="74"/>
      <c r="AG300" s="117"/>
      <c r="AH300" s="117"/>
      <c r="AI300" s="117"/>
      <c r="AJ300" s="117"/>
      <c r="AK300" s="117"/>
      <c r="AL300" s="117"/>
      <c r="AM300" s="117"/>
      <c r="AN300" s="117"/>
      <c r="AO300" s="117"/>
      <c r="AP300" s="117"/>
      <c r="AQ300" s="117"/>
      <c r="AR300" s="117"/>
      <c r="AS300" s="145"/>
      <c r="AU300" s="117"/>
      <c r="AV300" s="45"/>
      <c r="AY300" s="162"/>
      <c r="BF300" s="45"/>
      <c r="BG300" s="246"/>
      <c r="BI300" s="138"/>
      <c r="BJ300" s="54"/>
      <c r="BK300" s="74"/>
      <c r="BL300" s="117"/>
      <c r="BM300" s="117"/>
      <c r="BN300" s="117"/>
      <c r="BO300" s="117"/>
      <c r="BP300" s="117"/>
      <c r="BQ300" s="117"/>
      <c r="BR300" s="117"/>
      <c r="BS300" s="117"/>
      <c r="BT300" s="117"/>
      <c r="BU300" s="117"/>
      <c r="BV300" s="117"/>
      <c r="BW300" s="117"/>
      <c r="BX300" s="117"/>
      <c r="BY300" s="117"/>
      <c r="CA300" s="102"/>
      <c r="CC300" s="86"/>
      <c r="CE300" s="102"/>
      <c r="CJ300" s="86"/>
      <c r="CP300" s="63"/>
      <c r="CQ300" s="54"/>
      <c r="CX300" s="86"/>
      <c r="DM300" s="342"/>
      <c r="DO300" s="63"/>
      <c r="DP300" s="86"/>
      <c r="ED300" s="54"/>
      <c r="EF300" s="63"/>
      <c r="EG300" s="86"/>
      <c r="EP300" s="63"/>
      <c r="EQ300" s="54"/>
      <c r="ER300" s="86"/>
      <c r="FF300" s="54"/>
      <c r="FG300" s="86"/>
      <c r="FO300" s="45"/>
      <c r="FT300" s="86"/>
      <c r="FW300" s="63"/>
      <c r="FX300" s="54"/>
      <c r="GB300" s="86"/>
      <c r="GK300" s="45"/>
      <c r="GL300" s="54"/>
      <c r="GS300" s="86"/>
      <c r="HC300" s="63"/>
      <c r="HJ300" s="86"/>
      <c r="HT300" s="63"/>
      <c r="HZ300" s="54"/>
      <c r="IA300" s="86"/>
      <c r="IJ300" s="54"/>
      <c r="IK300" s="86"/>
    </row>
    <row r="301" spans="1:245">
      <c r="A301" s="86">
        <v>271</v>
      </c>
      <c r="B301" s="117"/>
      <c r="C301" s="117"/>
      <c r="D301" s="117"/>
      <c r="E301" s="117"/>
      <c r="K301" s="117"/>
      <c r="L301" s="117"/>
      <c r="M301" s="117"/>
      <c r="N301" s="117"/>
      <c r="O301" s="117"/>
      <c r="P301" s="117"/>
      <c r="Q301" s="117"/>
      <c r="R301" s="63"/>
      <c r="S301" s="117"/>
      <c r="T301" s="117"/>
      <c r="U301" s="117"/>
      <c r="V301" s="117"/>
      <c r="W301" s="117"/>
      <c r="X301" s="117"/>
      <c r="Y301" s="117"/>
      <c r="Z301" s="117"/>
      <c r="AA301" s="117"/>
      <c r="AB301" s="117"/>
      <c r="AC301" s="117"/>
      <c r="AD301" s="117"/>
      <c r="AE301" s="117"/>
      <c r="AF301" s="74"/>
      <c r="AG301" s="117"/>
      <c r="AH301" s="117"/>
      <c r="AI301" s="117"/>
      <c r="AJ301" s="117"/>
      <c r="AK301" s="117"/>
      <c r="AL301" s="117"/>
      <c r="AM301" s="117"/>
      <c r="AN301" s="117"/>
      <c r="AO301" s="117"/>
      <c r="AP301" s="117"/>
      <c r="AQ301" s="117"/>
      <c r="AR301" s="117"/>
      <c r="AS301" s="145"/>
      <c r="AU301" s="117"/>
      <c r="AV301" s="45"/>
      <c r="AY301" s="162"/>
      <c r="BF301" s="45"/>
      <c r="BG301" s="246"/>
      <c r="BI301" s="138"/>
      <c r="BJ301" s="54"/>
      <c r="BK301" s="74"/>
      <c r="BL301" s="117"/>
      <c r="BM301" s="117"/>
      <c r="BN301" s="117"/>
      <c r="BO301" s="117"/>
      <c r="BP301" s="117"/>
      <c r="BQ301" s="117"/>
      <c r="BR301" s="117"/>
      <c r="BS301" s="117"/>
      <c r="BT301" s="117"/>
      <c r="BU301" s="117"/>
      <c r="BV301" s="117"/>
      <c r="BW301" s="117"/>
      <c r="BX301" s="117"/>
      <c r="BY301" s="117"/>
      <c r="CA301" s="102"/>
      <c r="CC301" s="86"/>
      <c r="CE301" s="102"/>
      <c r="CJ301" s="86"/>
      <c r="CP301" s="63"/>
      <c r="CQ301" s="54"/>
      <c r="CX301" s="86"/>
      <c r="DM301" s="342"/>
      <c r="DO301" s="63"/>
      <c r="DP301" s="86"/>
      <c r="ED301" s="54"/>
      <c r="EF301" s="63"/>
      <c r="EG301" s="86"/>
      <c r="EP301" s="63"/>
      <c r="EQ301" s="54"/>
      <c r="ER301" s="86"/>
      <c r="FF301" s="54"/>
      <c r="FG301" s="86"/>
      <c r="FO301" s="45"/>
      <c r="FT301" s="86"/>
      <c r="FW301" s="63"/>
      <c r="FX301" s="54"/>
      <c r="GB301" s="86"/>
      <c r="GK301" s="45"/>
      <c r="GL301" s="54"/>
      <c r="GS301" s="86"/>
      <c r="HC301" s="63"/>
      <c r="HJ301" s="86"/>
      <c r="HT301" s="63"/>
      <c r="HZ301" s="54"/>
      <c r="IA301" s="86"/>
      <c r="IJ301" s="54"/>
      <c r="IK301" s="86"/>
    </row>
    <row r="302" spans="1:245">
      <c r="A302" s="86">
        <v>272</v>
      </c>
      <c r="B302" s="117"/>
      <c r="C302" s="117"/>
      <c r="D302" s="117"/>
      <c r="E302" s="117"/>
      <c r="K302" s="117"/>
      <c r="L302" s="117"/>
      <c r="M302" s="117"/>
      <c r="N302" s="117"/>
      <c r="O302" s="117"/>
      <c r="P302" s="117"/>
      <c r="Q302" s="117"/>
      <c r="R302" s="63"/>
      <c r="S302" s="117"/>
      <c r="T302" s="117"/>
      <c r="U302" s="117"/>
      <c r="V302" s="117"/>
      <c r="W302" s="117"/>
      <c r="X302" s="117"/>
      <c r="Y302" s="117"/>
      <c r="Z302" s="117"/>
      <c r="AA302" s="117"/>
      <c r="AB302" s="117"/>
      <c r="AC302" s="117"/>
      <c r="AD302" s="117"/>
      <c r="AE302" s="117"/>
      <c r="AF302" s="74"/>
      <c r="AG302" s="117"/>
      <c r="AH302" s="117"/>
      <c r="AI302" s="117"/>
      <c r="AJ302" s="117"/>
      <c r="AK302" s="117"/>
      <c r="AL302" s="117"/>
      <c r="AM302" s="117"/>
      <c r="AN302" s="117"/>
      <c r="AO302" s="117"/>
      <c r="AP302" s="117"/>
      <c r="AQ302" s="117"/>
      <c r="AR302" s="117"/>
      <c r="AS302" s="145"/>
      <c r="AU302" s="117"/>
      <c r="AV302" s="45"/>
      <c r="AY302" s="162"/>
      <c r="BF302" s="45"/>
      <c r="BG302" s="246"/>
      <c r="BI302" s="138"/>
      <c r="BJ302" s="54"/>
      <c r="BK302" s="74"/>
      <c r="BL302" s="117"/>
      <c r="BM302" s="117"/>
      <c r="BN302" s="117"/>
      <c r="BO302" s="117"/>
      <c r="BP302" s="117"/>
      <c r="BQ302" s="117"/>
      <c r="BR302" s="117"/>
      <c r="BS302" s="117"/>
      <c r="BT302" s="117"/>
      <c r="BU302" s="117"/>
      <c r="BV302" s="117"/>
      <c r="BW302" s="117"/>
      <c r="BX302" s="117"/>
      <c r="BY302" s="117"/>
      <c r="CA302" s="102"/>
      <c r="CC302" s="86"/>
      <c r="CE302" s="102"/>
      <c r="CJ302" s="86"/>
      <c r="CP302" s="63"/>
      <c r="CQ302" s="54"/>
      <c r="CX302" s="86"/>
      <c r="DM302" s="342"/>
      <c r="DO302" s="63"/>
      <c r="DP302" s="86"/>
      <c r="ED302" s="54"/>
      <c r="EF302" s="63"/>
      <c r="EG302" s="86"/>
      <c r="EP302" s="63"/>
      <c r="EQ302" s="54"/>
      <c r="ER302" s="86"/>
      <c r="FF302" s="54"/>
      <c r="FG302" s="86"/>
      <c r="FO302" s="45"/>
      <c r="FT302" s="86"/>
      <c r="FW302" s="63"/>
      <c r="FX302" s="54"/>
      <c r="GB302" s="86"/>
      <c r="GK302" s="45"/>
      <c r="GL302" s="54"/>
      <c r="GS302" s="86"/>
      <c r="HC302" s="63"/>
      <c r="HJ302" s="86"/>
      <c r="HT302" s="63"/>
      <c r="HZ302" s="54"/>
      <c r="IA302" s="86"/>
      <c r="IJ302" s="54"/>
      <c r="IK302" s="86"/>
    </row>
    <row r="303" spans="1:245">
      <c r="A303" s="86">
        <v>273</v>
      </c>
      <c r="B303" s="117"/>
      <c r="C303" s="117"/>
      <c r="D303" s="117"/>
      <c r="E303" s="117"/>
      <c r="K303" s="117"/>
      <c r="L303" s="117"/>
      <c r="M303" s="117"/>
      <c r="N303" s="117"/>
      <c r="O303" s="117"/>
      <c r="P303" s="117"/>
      <c r="Q303" s="117"/>
      <c r="R303" s="63"/>
      <c r="S303" s="117"/>
      <c r="T303" s="117"/>
      <c r="U303" s="117"/>
      <c r="V303" s="117"/>
      <c r="W303" s="117"/>
      <c r="X303" s="117"/>
      <c r="Y303" s="117"/>
      <c r="Z303" s="117"/>
      <c r="AA303" s="117"/>
      <c r="AB303" s="117"/>
      <c r="AC303" s="117"/>
      <c r="AD303" s="117"/>
      <c r="AE303" s="117"/>
      <c r="AF303" s="74"/>
      <c r="AG303" s="117"/>
      <c r="AH303" s="117"/>
      <c r="AI303" s="117"/>
      <c r="AJ303" s="117"/>
      <c r="AK303" s="117"/>
      <c r="AL303" s="117"/>
      <c r="AM303" s="117"/>
      <c r="AN303" s="117"/>
      <c r="AO303" s="117"/>
      <c r="AP303" s="117"/>
      <c r="AQ303" s="117"/>
      <c r="AR303" s="117"/>
      <c r="AS303" s="145"/>
      <c r="AU303" s="117"/>
      <c r="AV303" s="45"/>
      <c r="AY303" s="162"/>
      <c r="BF303" s="45"/>
      <c r="BG303" s="246"/>
      <c r="BI303" s="138"/>
      <c r="BJ303" s="54"/>
      <c r="BK303" s="74"/>
      <c r="BL303" s="117"/>
      <c r="BM303" s="117"/>
      <c r="BN303" s="117"/>
      <c r="BO303" s="117"/>
      <c r="BP303" s="117"/>
      <c r="BQ303" s="117"/>
      <c r="BR303" s="117"/>
      <c r="BS303" s="117"/>
      <c r="BT303" s="117"/>
      <c r="BU303" s="117"/>
      <c r="BV303" s="117"/>
      <c r="BW303" s="117"/>
      <c r="BX303" s="117"/>
      <c r="BY303" s="117"/>
      <c r="CA303" s="102"/>
      <c r="CC303" s="86"/>
      <c r="CE303" s="102"/>
      <c r="CJ303" s="86"/>
      <c r="CP303" s="63"/>
      <c r="CQ303" s="54"/>
      <c r="CX303" s="86"/>
      <c r="DM303" s="342"/>
      <c r="DO303" s="63"/>
      <c r="DP303" s="86"/>
      <c r="ED303" s="54"/>
      <c r="EF303" s="63"/>
      <c r="EG303" s="86"/>
      <c r="EP303" s="63"/>
      <c r="EQ303" s="54"/>
      <c r="ER303" s="86"/>
      <c r="FF303" s="54"/>
      <c r="FG303" s="86"/>
      <c r="FO303" s="45"/>
      <c r="FT303" s="86"/>
      <c r="FW303" s="63"/>
      <c r="FX303" s="54"/>
      <c r="GB303" s="86"/>
      <c r="GK303" s="45"/>
      <c r="GL303" s="54"/>
      <c r="GS303" s="86"/>
      <c r="HC303" s="63"/>
      <c r="HJ303" s="86"/>
      <c r="HT303" s="63"/>
      <c r="HZ303" s="54"/>
      <c r="IA303" s="86"/>
      <c r="IJ303" s="54"/>
      <c r="IK303" s="86"/>
    </row>
    <row r="304" spans="1:245">
      <c r="A304" s="86">
        <v>274</v>
      </c>
      <c r="B304" s="117"/>
      <c r="C304" s="117"/>
      <c r="D304" s="117"/>
      <c r="E304" s="117"/>
      <c r="K304" s="117"/>
      <c r="L304" s="117"/>
      <c r="M304" s="117"/>
      <c r="N304" s="117"/>
      <c r="O304" s="117"/>
      <c r="P304" s="117"/>
      <c r="Q304" s="117"/>
      <c r="R304" s="63"/>
      <c r="S304" s="117"/>
      <c r="T304" s="117"/>
      <c r="U304" s="117"/>
      <c r="V304" s="117"/>
      <c r="W304" s="117"/>
      <c r="X304" s="117"/>
      <c r="Y304" s="117"/>
      <c r="Z304" s="117"/>
      <c r="AA304" s="117"/>
      <c r="AB304" s="117"/>
      <c r="AC304" s="117"/>
      <c r="AD304" s="117"/>
      <c r="AE304" s="117"/>
      <c r="AF304" s="74"/>
      <c r="AG304" s="117"/>
      <c r="AH304" s="117"/>
      <c r="AI304" s="117"/>
      <c r="AJ304" s="117"/>
      <c r="AK304" s="117"/>
      <c r="AL304" s="117"/>
      <c r="AM304" s="117"/>
      <c r="AN304" s="117"/>
      <c r="AO304" s="117"/>
      <c r="AP304" s="117"/>
      <c r="AQ304" s="117"/>
      <c r="AR304" s="117"/>
      <c r="AS304" s="145"/>
      <c r="AU304" s="117"/>
      <c r="AV304" s="45"/>
      <c r="AY304" s="162"/>
      <c r="BF304" s="45"/>
      <c r="BG304" s="246"/>
      <c r="BI304" s="138"/>
      <c r="BJ304" s="54"/>
      <c r="BK304" s="74"/>
      <c r="BL304" s="117"/>
      <c r="BM304" s="117"/>
      <c r="BN304" s="117"/>
      <c r="BO304" s="117"/>
      <c r="BP304" s="117"/>
      <c r="BQ304" s="117"/>
      <c r="BR304" s="117"/>
      <c r="BS304" s="117"/>
      <c r="BT304" s="117"/>
      <c r="BU304" s="117"/>
      <c r="BV304" s="117"/>
      <c r="BW304" s="117"/>
      <c r="BX304" s="117"/>
      <c r="BY304" s="117"/>
      <c r="CA304" s="102"/>
      <c r="CC304" s="86"/>
      <c r="CE304" s="102"/>
      <c r="CJ304" s="86"/>
      <c r="CP304" s="63"/>
      <c r="CQ304" s="54"/>
      <c r="CX304" s="86"/>
      <c r="DM304" s="342"/>
      <c r="DO304" s="63"/>
      <c r="DP304" s="86"/>
      <c r="ED304" s="54"/>
      <c r="EF304" s="63"/>
      <c r="EG304" s="86"/>
      <c r="EP304" s="63"/>
      <c r="EQ304" s="54"/>
      <c r="ER304" s="86"/>
      <c r="FF304" s="54"/>
      <c r="FG304" s="86"/>
      <c r="FO304" s="45"/>
      <c r="FT304" s="86"/>
      <c r="FW304" s="63"/>
      <c r="FX304" s="54"/>
      <c r="GB304" s="86"/>
      <c r="GK304" s="45"/>
      <c r="GL304" s="54"/>
      <c r="GS304" s="86"/>
      <c r="HC304" s="63"/>
      <c r="HJ304" s="86"/>
      <c r="HT304" s="63"/>
      <c r="HZ304" s="54"/>
      <c r="IA304" s="86"/>
      <c r="IJ304" s="54"/>
      <c r="IK304" s="86"/>
    </row>
    <row r="305" spans="1:245">
      <c r="A305" s="86">
        <v>275</v>
      </c>
      <c r="B305" s="117"/>
      <c r="C305" s="117"/>
      <c r="D305" s="117"/>
      <c r="E305" s="117"/>
      <c r="K305" s="117"/>
      <c r="L305" s="117"/>
      <c r="M305" s="117"/>
      <c r="N305" s="117"/>
      <c r="O305" s="117"/>
      <c r="P305" s="117"/>
      <c r="Q305" s="117"/>
      <c r="R305" s="63"/>
      <c r="S305" s="117"/>
      <c r="T305" s="117"/>
      <c r="U305" s="117"/>
      <c r="V305" s="117"/>
      <c r="W305" s="117"/>
      <c r="X305" s="117"/>
      <c r="Y305" s="117"/>
      <c r="Z305" s="117"/>
      <c r="AA305" s="117"/>
      <c r="AB305" s="117"/>
      <c r="AC305" s="117"/>
      <c r="AD305" s="117"/>
      <c r="AE305" s="117"/>
      <c r="AF305" s="74"/>
      <c r="AG305" s="117"/>
      <c r="AH305" s="117"/>
      <c r="AI305" s="117"/>
      <c r="AJ305" s="117"/>
      <c r="AK305" s="117"/>
      <c r="AL305" s="117"/>
      <c r="AM305" s="117"/>
      <c r="AN305" s="117"/>
      <c r="AO305" s="117"/>
      <c r="AP305" s="117"/>
      <c r="AQ305" s="117"/>
      <c r="AR305" s="117"/>
      <c r="AS305" s="145"/>
      <c r="AU305" s="117"/>
      <c r="AV305" s="45"/>
      <c r="AY305" s="162"/>
      <c r="BF305" s="45"/>
      <c r="BG305" s="246"/>
      <c r="BI305" s="138"/>
      <c r="BJ305" s="54"/>
      <c r="BK305" s="74"/>
      <c r="BL305" s="117"/>
      <c r="BM305" s="117"/>
      <c r="BN305" s="117"/>
      <c r="BO305" s="117"/>
      <c r="BP305" s="117"/>
      <c r="BQ305" s="117"/>
      <c r="BR305" s="117"/>
      <c r="BS305" s="117"/>
      <c r="BT305" s="117"/>
      <c r="BU305" s="117"/>
      <c r="BV305" s="117"/>
      <c r="BW305" s="117"/>
      <c r="BX305" s="117"/>
      <c r="BY305" s="117"/>
      <c r="CA305" s="102"/>
      <c r="CC305" s="86"/>
      <c r="CE305" s="102"/>
      <c r="CJ305" s="86"/>
      <c r="CP305" s="63"/>
      <c r="CQ305" s="54"/>
      <c r="CX305" s="86"/>
      <c r="DM305" s="342"/>
      <c r="DO305" s="63"/>
      <c r="DP305" s="86"/>
      <c r="ED305" s="54"/>
      <c r="EF305" s="63"/>
      <c r="EG305" s="86"/>
      <c r="EP305" s="63"/>
      <c r="EQ305" s="54"/>
      <c r="ER305" s="86"/>
      <c r="FF305" s="54"/>
      <c r="FG305" s="86"/>
      <c r="FO305" s="45"/>
      <c r="FT305" s="86"/>
      <c r="FW305" s="63"/>
      <c r="FX305" s="54"/>
      <c r="GB305" s="86"/>
      <c r="GK305" s="45"/>
      <c r="GL305" s="54"/>
      <c r="GS305" s="86"/>
      <c r="HC305" s="63"/>
      <c r="HJ305" s="86"/>
      <c r="HT305" s="63"/>
      <c r="HZ305" s="54"/>
      <c r="IA305" s="86"/>
      <c r="IJ305" s="54"/>
      <c r="IK305" s="86"/>
    </row>
    <row r="306" spans="1:245">
      <c r="A306" s="86">
        <v>276</v>
      </c>
      <c r="B306" s="117"/>
      <c r="C306" s="117"/>
      <c r="D306" s="117"/>
      <c r="E306" s="117"/>
      <c r="K306" s="117"/>
      <c r="L306" s="117"/>
      <c r="M306" s="117"/>
      <c r="N306" s="117"/>
      <c r="O306" s="117"/>
      <c r="P306" s="117"/>
      <c r="Q306" s="117"/>
      <c r="R306" s="63"/>
      <c r="S306" s="117"/>
      <c r="T306" s="117"/>
      <c r="U306" s="117"/>
      <c r="V306" s="117"/>
      <c r="W306" s="117"/>
      <c r="X306" s="117"/>
      <c r="Y306" s="117"/>
      <c r="Z306" s="117"/>
      <c r="AA306" s="117"/>
      <c r="AB306" s="117"/>
      <c r="AC306" s="117"/>
      <c r="AD306" s="117"/>
      <c r="AE306" s="117"/>
      <c r="AF306" s="74"/>
      <c r="AG306" s="117"/>
      <c r="AH306" s="117"/>
      <c r="AI306" s="117"/>
      <c r="AJ306" s="117"/>
      <c r="AK306" s="117"/>
      <c r="AL306" s="117"/>
      <c r="AM306" s="117"/>
      <c r="AN306" s="117"/>
      <c r="AO306" s="117"/>
      <c r="AP306" s="117"/>
      <c r="AQ306" s="117"/>
      <c r="AR306" s="117"/>
      <c r="AS306" s="145"/>
      <c r="AU306" s="117"/>
      <c r="AV306" s="45"/>
      <c r="AY306" s="162"/>
      <c r="BF306" s="45"/>
      <c r="BG306" s="246"/>
      <c r="BI306" s="138"/>
      <c r="BJ306" s="54"/>
      <c r="BK306" s="74"/>
      <c r="BL306" s="117"/>
      <c r="BM306" s="117"/>
      <c r="BN306" s="117"/>
      <c r="BO306" s="117"/>
      <c r="BP306" s="117"/>
      <c r="BQ306" s="117"/>
      <c r="BR306" s="117"/>
      <c r="BS306" s="117"/>
      <c r="BT306" s="117"/>
      <c r="BU306" s="117"/>
      <c r="BV306" s="117"/>
      <c r="BW306" s="117"/>
      <c r="BX306" s="117"/>
      <c r="BY306" s="117"/>
      <c r="CA306" s="102"/>
      <c r="CC306" s="86"/>
      <c r="CE306" s="102"/>
      <c r="CJ306" s="86"/>
      <c r="CP306" s="63"/>
      <c r="CQ306" s="54"/>
      <c r="CX306" s="86"/>
      <c r="DM306" s="342"/>
      <c r="DO306" s="63"/>
      <c r="DP306" s="86"/>
      <c r="ED306" s="54"/>
      <c r="EF306" s="63"/>
      <c r="EG306" s="86"/>
      <c r="EP306" s="63"/>
      <c r="EQ306" s="54"/>
      <c r="ER306" s="86"/>
      <c r="FF306" s="54"/>
      <c r="FG306" s="86"/>
      <c r="FO306" s="45"/>
      <c r="FT306" s="86"/>
      <c r="FW306" s="63"/>
      <c r="FX306" s="54"/>
      <c r="GB306" s="86"/>
      <c r="GK306" s="45"/>
      <c r="GL306" s="54"/>
      <c r="GS306" s="86"/>
      <c r="HC306" s="63"/>
      <c r="HJ306" s="86"/>
      <c r="HT306" s="63"/>
      <c r="HZ306" s="54"/>
      <c r="IA306" s="86"/>
      <c r="IJ306" s="54"/>
      <c r="IK306" s="86"/>
    </row>
    <row r="307" spans="1:245">
      <c r="A307" s="86">
        <v>277</v>
      </c>
      <c r="B307" s="117"/>
      <c r="C307" s="117"/>
      <c r="D307" s="117"/>
      <c r="E307" s="117"/>
      <c r="K307" s="117"/>
      <c r="L307" s="117"/>
      <c r="M307" s="117"/>
      <c r="N307" s="117"/>
      <c r="O307" s="117"/>
      <c r="P307" s="117"/>
      <c r="Q307" s="117"/>
      <c r="R307" s="63"/>
      <c r="S307" s="117"/>
      <c r="T307" s="117"/>
      <c r="U307" s="117"/>
      <c r="V307" s="117"/>
      <c r="W307" s="117"/>
      <c r="X307" s="117"/>
      <c r="Y307" s="117"/>
      <c r="Z307" s="117"/>
      <c r="AA307" s="117"/>
      <c r="AB307" s="117"/>
      <c r="AC307" s="117"/>
      <c r="AD307" s="117"/>
      <c r="AE307" s="117"/>
      <c r="AF307" s="74"/>
      <c r="AG307" s="117"/>
      <c r="AH307" s="117"/>
      <c r="AI307" s="117"/>
      <c r="AJ307" s="117"/>
      <c r="AK307" s="117"/>
      <c r="AL307" s="117"/>
      <c r="AM307" s="117"/>
      <c r="AN307" s="117"/>
      <c r="AO307" s="117"/>
      <c r="AP307" s="117"/>
      <c r="AQ307" s="117"/>
      <c r="AR307" s="117"/>
      <c r="AS307" s="145"/>
      <c r="AU307" s="117"/>
      <c r="AV307" s="45"/>
      <c r="AY307" s="162"/>
      <c r="BF307" s="45"/>
      <c r="BG307" s="246"/>
      <c r="BI307" s="138"/>
      <c r="BJ307" s="54"/>
      <c r="BK307" s="74"/>
      <c r="BL307" s="117"/>
      <c r="BM307" s="117"/>
      <c r="BN307" s="117"/>
      <c r="BO307" s="117"/>
      <c r="BP307" s="117"/>
      <c r="BQ307" s="117"/>
      <c r="BR307" s="117"/>
      <c r="BS307" s="117"/>
      <c r="BT307" s="117"/>
      <c r="BU307" s="117"/>
      <c r="BV307" s="117"/>
      <c r="BW307" s="117"/>
      <c r="BX307" s="117"/>
      <c r="BY307" s="117"/>
      <c r="CA307" s="102"/>
      <c r="CC307" s="86"/>
      <c r="CE307" s="102"/>
      <c r="CJ307" s="86"/>
      <c r="CP307" s="63"/>
      <c r="CQ307" s="54"/>
      <c r="CX307" s="86"/>
      <c r="DM307" s="342"/>
      <c r="DO307" s="63"/>
      <c r="DP307" s="86"/>
      <c r="ED307" s="54"/>
      <c r="EF307" s="63"/>
      <c r="EG307" s="86"/>
      <c r="EP307" s="63"/>
      <c r="EQ307" s="54"/>
      <c r="ER307" s="86"/>
      <c r="FF307" s="54"/>
      <c r="FG307" s="86"/>
      <c r="FO307" s="45"/>
      <c r="FT307" s="86"/>
      <c r="FW307" s="63"/>
      <c r="FX307" s="54"/>
      <c r="GB307" s="86"/>
      <c r="GK307" s="45"/>
      <c r="GL307" s="54"/>
      <c r="GS307" s="86"/>
      <c r="HC307" s="63"/>
      <c r="HJ307" s="86"/>
      <c r="HT307" s="63"/>
      <c r="HZ307" s="54"/>
      <c r="IA307" s="86"/>
      <c r="IJ307" s="54"/>
      <c r="IK307" s="86"/>
    </row>
    <row r="308" spans="1:245">
      <c r="A308" s="86">
        <v>278</v>
      </c>
      <c r="B308" s="117"/>
      <c r="C308" s="117"/>
      <c r="D308" s="117"/>
      <c r="E308" s="117"/>
      <c r="K308" s="117"/>
      <c r="L308" s="117"/>
      <c r="M308" s="117"/>
      <c r="N308" s="117"/>
      <c r="O308" s="117"/>
      <c r="P308" s="117"/>
      <c r="Q308" s="117"/>
      <c r="R308" s="63"/>
      <c r="S308" s="117"/>
      <c r="T308" s="117"/>
      <c r="U308" s="117"/>
      <c r="V308" s="117"/>
      <c r="W308" s="117"/>
      <c r="X308" s="117"/>
      <c r="Y308" s="117"/>
      <c r="Z308" s="117"/>
      <c r="AA308" s="117"/>
      <c r="AB308" s="117"/>
      <c r="AC308" s="117"/>
      <c r="AD308" s="117"/>
      <c r="AE308" s="117"/>
      <c r="AF308" s="74"/>
      <c r="AG308" s="117"/>
      <c r="AH308" s="117"/>
      <c r="AI308" s="117"/>
      <c r="AJ308" s="117"/>
      <c r="AK308" s="117"/>
      <c r="AL308" s="117"/>
      <c r="AM308" s="117"/>
      <c r="AN308" s="117"/>
      <c r="AO308" s="117"/>
      <c r="AP308" s="117"/>
      <c r="AQ308" s="117"/>
      <c r="AR308" s="117"/>
      <c r="AS308" s="145"/>
      <c r="AU308" s="117"/>
      <c r="AV308" s="45"/>
      <c r="AY308" s="162"/>
      <c r="BF308" s="45"/>
      <c r="BG308" s="246"/>
      <c r="BI308" s="138"/>
      <c r="BJ308" s="54"/>
      <c r="BK308" s="74"/>
      <c r="BL308" s="117"/>
      <c r="BM308" s="117"/>
      <c r="BN308" s="117"/>
      <c r="BO308" s="117"/>
      <c r="BP308" s="117"/>
      <c r="BQ308" s="117"/>
      <c r="BR308" s="117"/>
      <c r="BS308" s="117"/>
      <c r="BT308" s="117"/>
      <c r="BU308" s="117"/>
      <c r="BV308" s="117"/>
      <c r="BW308" s="117"/>
      <c r="BX308" s="117"/>
      <c r="BY308" s="117"/>
      <c r="CA308" s="102"/>
      <c r="CC308" s="86"/>
      <c r="CE308" s="102"/>
      <c r="CJ308" s="86"/>
      <c r="CP308" s="63"/>
      <c r="CQ308" s="54"/>
      <c r="CX308" s="86"/>
      <c r="DM308" s="342"/>
      <c r="DO308" s="63"/>
      <c r="DP308" s="86"/>
      <c r="ED308" s="54"/>
      <c r="EF308" s="63"/>
      <c r="EG308" s="86"/>
      <c r="EP308" s="63"/>
      <c r="EQ308" s="54"/>
      <c r="ER308" s="86"/>
      <c r="FF308" s="54"/>
      <c r="FG308" s="86"/>
      <c r="FO308" s="45"/>
      <c r="FT308" s="86"/>
      <c r="FW308" s="63"/>
      <c r="FX308" s="54"/>
      <c r="GB308" s="86"/>
      <c r="GK308" s="45"/>
      <c r="GL308" s="54"/>
      <c r="GS308" s="86"/>
      <c r="HC308" s="63"/>
      <c r="HJ308" s="86"/>
      <c r="HT308" s="63"/>
      <c r="HZ308" s="54"/>
      <c r="IA308" s="86"/>
      <c r="IJ308" s="54"/>
      <c r="IK308" s="86"/>
    </row>
    <row r="309" spans="1:245">
      <c r="A309" s="86">
        <v>279</v>
      </c>
      <c r="B309" s="117"/>
      <c r="C309" s="117"/>
      <c r="D309" s="117"/>
      <c r="E309" s="117"/>
      <c r="K309" s="117"/>
      <c r="L309" s="117"/>
      <c r="M309" s="117"/>
      <c r="N309" s="117"/>
      <c r="O309" s="117"/>
      <c r="P309" s="117"/>
      <c r="Q309" s="117"/>
      <c r="R309" s="63"/>
      <c r="S309" s="117"/>
      <c r="T309" s="117"/>
      <c r="U309" s="117"/>
      <c r="V309" s="117"/>
      <c r="W309" s="117"/>
      <c r="X309" s="117"/>
      <c r="Y309" s="117"/>
      <c r="Z309" s="117"/>
      <c r="AA309" s="117"/>
      <c r="AB309" s="117"/>
      <c r="AC309" s="117"/>
      <c r="AD309" s="117"/>
      <c r="AE309" s="117"/>
      <c r="AF309" s="74"/>
      <c r="AG309" s="117"/>
      <c r="AH309" s="117"/>
      <c r="AI309" s="117"/>
      <c r="AJ309" s="117"/>
      <c r="AK309" s="117"/>
      <c r="AL309" s="117"/>
      <c r="AM309" s="117"/>
      <c r="AN309" s="117"/>
      <c r="AO309" s="117"/>
      <c r="AP309" s="117"/>
      <c r="AQ309" s="117"/>
      <c r="AR309" s="117"/>
      <c r="AS309" s="145"/>
      <c r="AU309" s="117"/>
      <c r="AV309" s="45"/>
      <c r="AY309" s="162"/>
      <c r="BF309" s="45"/>
      <c r="BG309" s="246"/>
      <c r="BI309" s="138"/>
      <c r="BJ309" s="54"/>
      <c r="BK309" s="74"/>
      <c r="BL309" s="117"/>
      <c r="BM309" s="117"/>
      <c r="BN309" s="117"/>
      <c r="BO309" s="117"/>
      <c r="BP309" s="117"/>
      <c r="BQ309" s="117"/>
      <c r="BR309" s="117"/>
      <c r="BS309" s="117"/>
      <c r="BT309" s="117"/>
      <c r="BU309" s="117"/>
      <c r="BV309" s="117"/>
      <c r="BW309" s="117"/>
      <c r="BX309" s="117"/>
      <c r="BY309" s="117"/>
      <c r="CA309" s="102"/>
      <c r="CC309" s="86"/>
      <c r="CE309" s="102"/>
      <c r="CJ309" s="86"/>
      <c r="CP309" s="63"/>
      <c r="CQ309" s="54"/>
      <c r="CX309" s="86"/>
      <c r="DM309" s="342"/>
      <c r="DO309" s="63"/>
      <c r="DP309" s="86"/>
      <c r="ED309" s="54"/>
      <c r="EF309" s="63"/>
      <c r="EG309" s="86"/>
      <c r="EP309" s="63"/>
      <c r="EQ309" s="54"/>
      <c r="ER309" s="86"/>
      <c r="FF309" s="54"/>
      <c r="FG309" s="86"/>
      <c r="FO309" s="45"/>
      <c r="FT309" s="86"/>
      <c r="FW309" s="63"/>
      <c r="FX309" s="54"/>
      <c r="GB309" s="86"/>
      <c r="GK309" s="45"/>
      <c r="GL309" s="54"/>
      <c r="GS309" s="86"/>
      <c r="HC309" s="63"/>
      <c r="HJ309" s="86"/>
      <c r="HT309" s="63"/>
      <c r="HZ309" s="54"/>
      <c r="IA309" s="86"/>
      <c r="IJ309" s="54"/>
      <c r="IK309" s="86"/>
    </row>
    <row r="310" spans="1:245">
      <c r="A310" s="86">
        <v>280</v>
      </c>
      <c r="B310" s="117"/>
      <c r="C310" s="117"/>
      <c r="D310" s="117"/>
      <c r="E310" s="117"/>
      <c r="K310" s="117"/>
      <c r="L310" s="117"/>
      <c r="M310" s="117"/>
      <c r="N310" s="117"/>
      <c r="O310" s="117"/>
      <c r="P310" s="117"/>
      <c r="Q310" s="117"/>
      <c r="R310" s="63"/>
      <c r="S310" s="117"/>
      <c r="T310" s="117"/>
      <c r="U310" s="117"/>
      <c r="V310" s="117"/>
      <c r="W310" s="117"/>
      <c r="X310" s="117"/>
      <c r="Y310" s="117"/>
      <c r="Z310" s="117"/>
      <c r="AA310" s="117"/>
      <c r="AB310" s="117"/>
      <c r="AC310" s="117"/>
      <c r="AD310" s="117"/>
      <c r="AE310" s="117"/>
      <c r="AF310" s="74"/>
      <c r="AG310" s="117"/>
      <c r="AH310" s="117"/>
      <c r="AI310" s="117"/>
      <c r="AJ310" s="117"/>
      <c r="AK310" s="117"/>
      <c r="AL310" s="117"/>
      <c r="AM310" s="117"/>
      <c r="AN310" s="117"/>
      <c r="AO310" s="117"/>
      <c r="AP310" s="117"/>
      <c r="AQ310" s="117"/>
      <c r="AR310" s="117"/>
      <c r="AS310" s="145"/>
      <c r="AU310" s="117"/>
      <c r="AV310" s="45"/>
      <c r="AY310" s="162"/>
      <c r="BF310" s="45"/>
      <c r="BG310" s="246"/>
      <c r="BI310" s="138"/>
      <c r="BJ310" s="54"/>
      <c r="BK310" s="74"/>
      <c r="BL310" s="117"/>
      <c r="BM310" s="117"/>
      <c r="BN310" s="117"/>
      <c r="BO310" s="117"/>
      <c r="BP310" s="117"/>
      <c r="BQ310" s="117"/>
      <c r="BR310" s="117"/>
      <c r="BS310" s="117"/>
      <c r="BT310" s="117"/>
      <c r="BU310" s="117"/>
      <c r="BV310" s="117"/>
      <c r="BW310" s="117"/>
      <c r="BX310" s="117"/>
      <c r="BY310" s="117"/>
      <c r="CA310" s="102"/>
      <c r="CC310" s="86"/>
      <c r="CE310" s="102"/>
      <c r="CJ310" s="86"/>
      <c r="CP310" s="63"/>
      <c r="CQ310" s="54"/>
      <c r="CX310" s="86"/>
      <c r="DM310" s="342"/>
      <c r="DO310" s="63"/>
      <c r="DP310" s="86"/>
      <c r="ED310" s="54"/>
      <c r="EF310" s="63"/>
      <c r="EG310" s="86"/>
      <c r="EP310" s="63"/>
      <c r="EQ310" s="54"/>
      <c r="ER310" s="86"/>
      <c r="FF310" s="54"/>
      <c r="FG310" s="86"/>
      <c r="FO310" s="45"/>
      <c r="FT310" s="86"/>
      <c r="FW310" s="63"/>
      <c r="FX310" s="54"/>
      <c r="GB310" s="86"/>
      <c r="GK310" s="45"/>
      <c r="GL310" s="54"/>
      <c r="GS310" s="86"/>
      <c r="HC310" s="63"/>
      <c r="HJ310" s="86"/>
      <c r="HT310" s="63"/>
      <c r="HZ310" s="54"/>
      <c r="IA310" s="86"/>
      <c r="IJ310" s="54"/>
      <c r="IK310" s="86"/>
    </row>
    <row r="311" spans="1:245">
      <c r="A311" s="86">
        <v>281</v>
      </c>
      <c r="B311" s="117"/>
      <c r="C311" s="117"/>
      <c r="D311" s="117"/>
      <c r="E311" s="117"/>
      <c r="K311" s="117"/>
      <c r="L311" s="117"/>
      <c r="M311" s="117"/>
      <c r="N311" s="117"/>
      <c r="O311" s="117"/>
      <c r="P311" s="117"/>
      <c r="Q311" s="117"/>
      <c r="R311" s="63"/>
      <c r="S311" s="117"/>
      <c r="T311" s="117"/>
      <c r="U311" s="117"/>
      <c r="V311" s="117"/>
      <c r="W311" s="117"/>
      <c r="X311" s="117"/>
      <c r="Y311" s="117"/>
      <c r="Z311" s="117"/>
      <c r="AA311" s="117"/>
      <c r="AB311" s="117"/>
      <c r="AC311" s="117"/>
      <c r="AD311" s="117"/>
      <c r="AE311" s="117"/>
      <c r="AF311" s="74"/>
      <c r="AG311" s="117"/>
      <c r="AH311" s="117"/>
      <c r="AI311" s="117"/>
      <c r="AJ311" s="117"/>
      <c r="AK311" s="117"/>
      <c r="AL311" s="117"/>
      <c r="AM311" s="117"/>
      <c r="AN311" s="117"/>
      <c r="AO311" s="117"/>
      <c r="AP311" s="117"/>
      <c r="AQ311" s="117"/>
      <c r="AR311" s="117"/>
      <c r="AS311" s="145"/>
      <c r="AU311" s="117"/>
      <c r="AV311" s="45"/>
      <c r="AY311" s="162"/>
      <c r="BF311" s="45"/>
      <c r="BG311" s="246"/>
      <c r="BI311" s="138"/>
      <c r="BJ311" s="54"/>
      <c r="BK311" s="74"/>
      <c r="BL311" s="117"/>
      <c r="BM311" s="117"/>
      <c r="BN311" s="117"/>
      <c r="BO311" s="117"/>
      <c r="BP311" s="117"/>
      <c r="BQ311" s="117"/>
      <c r="BR311" s="117"/>
      <c r="BS311" s="117"/>
      <c r="BT311" s="117"/>
      <c r="BU311" s="117"/>
      <c r="BV311" s="117"/>
      <c r="BW311" s="117"/>
      <c r="BX311" s="117"/>
      <c r="BY311" s="117"/>
      <c r="CA311" s="102"/>
      <c r="CC311" s="86"/>
      <c r="CE311" s="102"/>
      <c r="CJ311" s="86"/>
      <c r="CP311" s="63"/>
      <c r="CQ311" s="54"/>
      <c r="CX311" s="86"/>
      <c r="DM311" s="342"/>
      <c r="DO311" s="63"/>
      <c r="DP311" s="86"/>
      <c r="ED311" s="54"/>
      <c r="EF311" s="63"/>
      <c r="EG311" s="86"/>
      <c r="EP311" s="63"/>
      <c r="EQ311" s="54"/>
      <c r="ER311" s="86"/>
      <c r="FF311" s="54"/>
      <c r="FG311" s="86"/>
      <c r="FO311" s="45"/>
      <c r="FT311" s="86"/>
      <c r="FW311" s="63"/>
      <c r="FX311" s="54"/>
      <c r="GB311" s="86"/>
      <c r="GK311" s="45"/>
      <c r="GL311" s="54"/>
      <c r="GS311" s="86"/>
      <c r="HC311" s="63"/>
      <c r="HJ311" s="86"/>
      <c r="HT311" s="63"/>
      <c r="HZ311" s="54"/>
      <c r="IA311" s="86"/>
      <c r="IJ311" s="54"/>
      <c r="IK311" s="86"/>
    </row>
    <row r="312" spans="1:245">
      <c r="A312" s="86">
        <v>282</v>
      </c>
      <c r="B312" s="117"/>
      <c r="C312" s="117"/>
      <c r="D312" s="117"/>
      <c r="E312" s="117"/>
      <c r="K312" s="117"/>
      <c r="L312" s="117"/>
      <c r="M312" s="117"/>
      <c r="N312" s="117"/>
      <c r="O312" s="117"/>
      <c r="P312" s="117"/>
      <c r="Q312" s="117"/>
      <c r="R312" s="63"/>
      <c r="S312" s="117"/>
      <c r="T312" s="117"/>
      <c r="U312" s="117"/>
      <c r="V312" s="117"/>
      <c r="W312" s="117"/>
      <c r="X312" s="117"/>
      <c r="Y312" s="117"/>
      <c r="Z312" s="117"/>
      <c r="AA312" s="117"/>
      <c r="AB312" s="117"/>
      <c r="AC312" s="117"/>
      <c r="AD312" s="117"/>
      <c r="AE312" s="117"/>
      <c r="AF312" s="74"/>
      <c r="AG312" s="117"/>
      <c r="AH312" s="117"/>
      <c r="AI312" s="117"/>
      <c r="AJ312" s="117"/>
      <c r="AK312" s="117"/>
      <c r="AL312" s="117"/>
      <c r="AM312" s="117"/>
      <c r="AN312" s="117"/>
      <c r="AO312" s="117"/>
      <c r="AP312" s="117"/>
      <c r="AQ312" s="117"/>
      <c r="AR312" s="117"/>
      <c r="AS312" s="145"/>
      <c r="AU312" s="117"/>
      <c r="AV312" s="45"/>
      <c r="AY312" s="162"/>
      <c r="BF312" s="45"/>
      <c r="BG312" s="246"/>
      <c r="BI312" s="138"/>
      <c r="BJ312" s="54"/>
      <c r="BK312" s="74"/>
      <c r="BL312" s="117"/>
      <c r="BM312" s="117"/>
      <c r="BN312" s="117"/>
      <c r="BO312" s="117"/>
      <c r="BP312" s="117"/>
      <c r="BQ312" s="117"/>
      <c r="BR312" s="117"/>
      <c r="BS312" s="117"/>
      <c r="BT312" s="117"/>
      <c r="BU312" s="117"/>
      <c r="BV312" s="117"/>
      <c r="BW312" s="117"/>
      <c r="BX312" s="117"/>
      <c r="BY312" s="117"/>
      <c r="CA312" s="102"/>
      <c r="CC312" s="86"/>
      <c r="CE312" s="102"/>
      <c r="CJ312" s="86"/>
      <c r="CP312" s="63"/>
      <c r="CQ312" s="54"/>
      <c r="CX312" s="86"/>
      <c r="DM312" s="342"/>
      <c r="DO312" s="63"/>
      <c r="DP312" s="86"/>
      <c r="ED312" s="54"/>
      <c r="EF312" s="63"/>
      <c r="EG312" s="86"/>
      <c r="EP312" s="63"/>
      <c r="EQ312" s="54"/>
      <c r="ER312" s="86"/>
      <c r="FF312" s="54"/>
      <c r="FG312" s="86"/>
      <c r="FO312" s="45"/>
      <c r="FT312" s="86"/>
      <c r="FW312" s="63"/>
      <c r="FX312" s="54"/>
      <c r="GB312" s="86"/>
      <c r="GK312" s="45"/>
      <c r="GL312" s="54"/>
      <c r="GS312" s="86"/>
      <c r="HC312" s="63"/>
      <c r="HJ312" s="86"/>
      <c r="HT312" s="63"/>
      <c r="HZ312" s="54"/>
      <c r="IA312" s="86"/>
      <c r="IJ312" s="54"/>
      <c r="IK312" s="86"/>
    </row>
    <row r="313" spans="1:245">
      <c r="A313" s="86">
        <v>283</v>
      </c>
      <c r="B313" s="117"/>
      <c r="C313" s="117"/>
      <c r="D313" s="117"/>
      <c r="E313" s="117"/>
      <c r="K313" s="117"/>
      <c r="L313" s="117"/>
      <c r="M313" s="117"/>
      <c r="N313" s="117"/>
      <c r="O313" s="117"/>
      <c r="P313" s="117"/>
      <c r="Q313" s="117"/>
      <c r="R313" s="63"/>
      <c r="S313" s="117"/>
      <c r="T313" s="117"/>
      <c r="U313" s="117"/>
      <c r="V313" s="117"/>
      <c r="W313" s="117"/>
      <c r="X313" s="117"/>
      <c r="Y313" s="117"/>
      <c r="Z313" s="117"/>
      <c r="AA313" s="117"/>
      <c r="AB313" s="117"/>
      <c r="AC313" s="117"/>
      <c r="AD313" s="117"/>
      <c r="AE313" s="117"/>
      <c r="AF313" s="74"/>
      <c r="AG313" s="117"/>
      <c r="AH313" s="117"/>
      <c r="AI313" s="117"/>
      <c r="AJ313" s="117"/>
      <c r="AK313" s="117"/>
      <c r="AL313" s="117"/>
      <c r="AM313" s="117"/>
      <c r="AN313" s="117"/>
      <c r="AO313" s="117"/>
      <c r="AP313" s="117"/>
      <c r="AQ313" s="117"/>
      <c r="AR313" s="117"/>
      <c r="AS313" s="145"/>
      <c r="AU313" s="117"/>
      <c r="AV313" s="45"/>
      <c r="AY313" s="162"/>
      <c r="BF313" s="45"/>
      <c r="BG313" s="246"/>
      <c r="BI313" s="138"/>
      <c r="BJ313" s="54"/>
      <c r="BK313" s="74"/>
      <c r="BL313" s="117"/>
      <c r="BM313" s="117"/>
      <c r="BN313" s="117"/>
      <c r="BO313" s="117"/>
      <c r="BP313" s="117"/>
      <c r="BQ313" s="117"/>
      <c r="BR313" s="117"/>
      <c r="BS313" s="117"/>
      <c r="BT313" s="117"/>
      <c r="BU313" s="117"/>
      <c r="BV313" s="117"/>
      <c r="BW313" s="117"/>
      <c r="BX313" s="117"/>
      <c r="BY313" s="117"/>
      <c r="CA313" s="102"/>
      <c r="CC313" s="86"/>
      <c r="CE313" s="102"/>
      <c r="CJ313" s="86"/>
      <c r="CP313" s="63"/>
      <c r="CQ313" s="54"/>
      <c r="CX313" s="86"/>
      <c r="DM313" s="342"/>
      <c r="DO313" s="63"/>
      <c r="DP313" s="86"/>
      <c r="ED313" s="54"/>
      <c r="EF313" s="63"/>
      <c r="EG313" s="86"/>
      <c r="EP313" s="63"/>
      <c r="EQ313" s="54"/>
      <c r="ER313" s="86"/>
      <c r="FF313" s="54"/>
      <c r="FG313" s="86"/>
      <c r="FO313" s="45"/>
      <c r="FT313" s="86"/>
      <c r="FW313" s="63"/>
      <c r="FX313" s="54"/>
      <c r="GB313" s="86"/>
      <c r="GK313" s="45"/>
      <c r="GL313" s="54"/>
      <c r="GS313" s="86"/>
      <c r="HC313" s="63"/>
      <c r="HJ313" s="86"/>
      <c r="HT313" s="63"/>
      <c r="HZ313" s="54"/>
      <c r="IA313" s="86"/>
      <c r="IJ313" s="54"/>
      <c r="IK313" s="86"/>
    </row>
    <row r="314" spans="1:245">
      <c r="A314" s="86">
        <v>284</v>
      </c>
      <c r="B314" s="117"/>
      <c r="C314" s="117"/>
      <c r="D314" s="117"/>
      <c r="E314" s="117"/>
      <c r="K314" s="117"/>
      <c r="L314" s="117"/>
      <c r="M314" s="117"/>
      <c r="N314" s="117"/>
      <c r="O314" s="117"/>
      <c r="P314" s="117"/>
      <c r="Q314" s="117"/>
      <c r="R314" s="63"/>
      <c r="S314" s="117"/>
      <c r="T314" s="117"/>
      <c r="U314" s="117"/>
      <c r="V314" s="117"/>
      <c r="W314" s="117"/>
      <c r="X314" s="117"/>
      <c r="Y314" s="117"/>
      <c r="Z314" s="117"/>
      <c r="AA314" s="117"/>
      <c r="AB314" s="117"/>
      <c r="AC314" s="117"/>
      <c r="AD314" s="117"/>
      <c r="AE314" s="117"/>
      <c r="AF314" s="74"/>
      <c r="AG314" s="117"/>
      <c r="AH314" s="117"/>
      <c r="AI314" s="117"/>
      <c r="AJ314" s="117"/>
      <c r="AK314" s="117"/>
      <c r="AL314" s="117"/>
      <c r="AM314" s="117"/>
      <c r="AN314" s="117"/>
      <c r="AO314" s="117"/>
      <c r="AP314" s="117"/>
      <c r="AQ314" s="117"/>
      <c r="AR314" s="117"/>
      <c r="AS314" s="145"/>
      <c r="AU314" s="117"/>
      <c r="AV314" s="45"/>
      <c r="AY314" s="162"/>
      <c r="BF314" s="45"/>
      <c r="BG314" s="246"/>
      <c r="BI314" s="138"/>
      <c r="BJ314" s="54"/>
      <c r="BK314" s="74"/>
      <c r="BL314" s="117"/>
      <c r="BM314" s="117"/>
      <c r="BN314" s="117"/>
      <c r="BO314" s="117"/>
      <c r="BP314" s="117"/>
      <c r="BQ314" s="117"/>
      <c r="BR314" s="117"/>
      <c r="BS314" s="117"/>
      <c r="BT314" s="117"/>
      <c r="BU314" s="117"/>
      <c r="BV314" s="117"/>
      <c r="BW314" s="117"/>
      <c r="BX314" s="117"/>
      <c r="BY314" s="117"/>
      <c r="CA314" s="102"/>
      <c r="CC314" s="86"/>
      <c r="CE314" s="102"/>
      <c r="CJ314" s="86"/>
      <c r="CP314" s="63"/>
      <c r="CQ314" s="54"/>
      <c r="CX314" s="86"/>
      <c r="DM314" s="342"/>
      <c r="DO314" s="63"/>
      <c r="DP314" s="86"/>
      <c r="ED314" s="54"/>
      <c r="EF314" s="63"/>
      <c r="EG314" s="86"/>
      <c r="EP314" s="63"/>
      <c r="EQ314" s="54"/>
      <c r="ER314" s="86"/>
      <c r="FF314" s="54"/>
      <c r="FG314" s="86"/>
      <c r="FO314" s="45"/>
      <c r="FT314" s="86"/>
      <c r="FW314" s="63"/>
      <c r="FX314" s="54"/>
      <c r="GB314" s="86"/>
      <c r="GK314" s="45"/>
      <c r="GL314" s="54"/>
      <c r="GS314" s="86"/>
      <c r="HC314" s="63"/>
      <c r="HJ314" s="86"/>
      <c r="HT314" s="63"/>
      <c r="HZ314" s="54"/>
      <c r="IA314" s="86"/>
      <c r="IJ314" s="54"/>
      <c r="IK314" s="86"/>
    </row>
    <row r="315" spans="1:245">
      <c r="A315" s="86">
        <v>285</v>
      </c>
      <c r="B315" s="117"/>
      <c r="C315" s="117"/>
      <c r="D315" s="117"/>
      <c r="E315" s="117"/>
      <c r="K315" s="117"/>
      <c r="L315" s="117"/>
      <c r="M315" s="117"/>
      <c r="N315" s="117"/>
      <c r="O315" s="117"/>
      <c r="P315" s="117"/>
      <c r="Q315" s="117"/>
      <c r="R315" s="63"/>
      <c r="S315" s="117"/>
      <c r="T315" s="117"/>
      <c r="U315" s="117"/>
      <c r="V315" s="117"/>
      <c r="W315" s="117"/>
      <c r="X315" s="117"/>
      <c r="Y315" s="117"/>
      <c r="Z315" s="117"/>
      <c r="AA315" s="117"/>
      <c r="AB315" s="117"/>
      <c r="AC315" s="117"/>
      <c r="AD315" s="117"/>
      <c r="AE315" s="117"/>
      <c r="AF315" s="74"/>
      <c r="AG315" s="117"/>
      <c r="AH315" s="117"/>
      <c r="AI315" s="117"/>
      <c r="AJ315" s="117"/>
      <c r="AK315" s="117"/>
      <c r="AL315" s="117"/>
      <c r="AM315" s="117"/>
      <c r="AN315" s="117"/>
      <c r="AO315" s="117"/>
      <c r="AP315" s="117"/>
      <c r="AQ315" s="117"/>
      <c r="AR315" s="117"/>
      <c r="AS315" s="145"/>
      <c r="AU315" s="117"/>
      <c r="AV315" s="45"/>
      <c r="AY315" s="162"/>
      <c r="BF315" s="45"/>
      <c r="BG315" s="246"/>
      <c r="BI315" s="138"/>
      <c r="BJ315" s="54"/>
      <c r="BK315" s="74"/>
      <c r="BL315" s="117"/>
      <c r="BM315" s="117"/>
      <c r="BN315" s="117"/>
      <c r="BO315" s="117"/>
      <c r="BP315" s="117"/>
      <c r="BQ315" s="117"/>
      <c r="BR315" s="117"/>
      <c r="BS315" s="117"/>
      <c r="BT315" s="117"/>
      <c r="BU315" s="117"/>
      <c r="BV315" s="117"/>
      <c r="BW315" s="117"/>
      <c r="BX315" s="117"/>
      <c r="BY315" s="117"/>
      <c r="CA315" s="102"/>
      <c r="CC315" s="86"/>
      <c r="CE315" s="102"/>
      <c r="CJ315" s="86"/>
      <c r="CP315" s="63"/>
      <c r="CQ315" s="54"/>
      <c r="CX315" s="86"/>
      <c r="DM315" s="342"/>
      <c r="DO315" s="63"/>
      <c r="DP315" s="86"/>
      <c r="ED315" s="54"/>
      <c r="EF315" s="63"/>
      <c r="EG315" s="86"/>
      <c r="EP315" s="63"/>
      <c r="EQ315" s="54"/>
      <c r="ER315" s="86"/>
      <c r="FF315" s="54"/>
      <c r="FG315" s="86"/>
      <c r="FO315" s="45"/>
      <c r="FT315" s="86"/>
      <c r="FW315" s="63"/>
      <c r="FX315" s="54"/>
      <c r="GB315" s="86"/>
      <c r="GK315" s="45"/>
      <c r="GL315" s="54"/>
      <c r="GS315" s="86"/>
      <c r="HC315" s="63"/>
      <c r="HJ315" s="86"/>
      <c r="HT315" s="63"/>
      <c r="HZ315" s="54"/>
      <c r="IA315" s="86"/>
      <c r="IJ315" s="54"/>
      <c r="IK315" s="86"/>
    </row>
    <row r="316" spans="1:245">
      <c r="A316" s="86">
        <v>286</v>
      </c>
      <c r="B316" s="117"/>
      <c r="C316" s="117"/>
      <c r="D316" s="117"/>
      <c r="E316" s="117"/>
      <c r="K316" s="117"/>
      <c r="L316" s="117"/>
      <c r="M316" s="117"/>
      <c r="N316" s="117"/>
      <c r="O316" s="117"/>
      <c r="P316" s="117"/>
      <c r="Q316" s="117"/>
      <c r="R316" s="63"/>
      <c r="S316" s="117"/>
      <c r="T316" s="117"/>
      <c r="U316" s="117"/>
      <c r="V316" s="117"/>
      <c r="W316" s="117"/>
      <c r="X316" s="117"/>
      <c r="Y316" s="117"/>
      <c r="Z316" s="117"/>
      <c r="AA316" s="117"/>
      <c r="AB316" s="117"/>
      <c r="AC316" s="117"/>
      <c r="AD316" s="117"/>
      <c r="AE316" s="117"/>
      <c r="AF316" s="74"/>
      <c r="AG316" s="117"/>
      <c r="AH316" s="117"/>
      <c r="AI316" s="117"/>
      <c r="AJ316" s="117"/>
      <c r="AK316" s="117"/>
      <c r="AL316" s="117"/>
      <c r="AM316" s="117"/>
      <c r="AN316" s="117"/>
      <c r="AO316" s="117"/>
      <c r="AP316" s="117"/>
      <c r="AQ316" s="117"/>
      <c r="AR316" s="117"/>
      <c r="AS316" s="145"/>
      <c r="AU316" s="117"/>
      <c r="AV316" s="45"/>
      <c r="AY316" s="162"/>
      <c r="BF316" s="45"/>
      <c r="BG316" s="246"/>
      <c r="BI316" s="138"/>
      <c r="BJ316" s="54"/>
      <c r="BK316" s="74"/>
      <c r="BL316" s="117"/>
      <c r="BM316" s="117"/>
      <c r="BN316" s="117"/>
      <c r="BO316" s="117"/>
      <c r="BP316" s="117"/>
      <c r="BQ316" s="117"/>
      <c r="BR316" s="117"/>
      <c r="BS316" s="117"/>
      <c r="BT316" s="117"/>
      <c r="BU316" s="117"/>
      <c r="BV316" s="117"/>
      <c r="BW316" s="117"/>
      <c r="BX316" s="117"/>
      <c r="BY316" s="117"/>
      <c r="CA316" s="102"/>
      <c r="CC316" s="86"/>
      <c r="CE316" s="102"/>
      <c r="CJ316" s="86"/>
      <c r="CP316" s="63"/>
      <c r="CQ316" s="54"/>
      <c r="CX316" s="86"/>
      <c r="DM316" s="342"/>
      <c r="DO316" s="63"/>
      <c r="DP316" s="86"/>
      <c r="ED316" s="54"/>
      <c r="EF316" s="63"/>
      <c r="EG316" s="86"/>
      <c r="EP316" s="63"/>
      <c r="EQ316" s="54"/>
      <c r="ER316" s="86"/>
      <c r="FF316" s="54"/>
      <c r="FG316" s="86"/>
      <c r="FO316" s="45"/>
      <c r="FT316" s="86"/>
      <c r="FW316" s="63"/>
      <c r="FX316" s="54"/>
      <c r="GB316" s="86"/>
      <c r="GK316" s="45"/>
      <c r="GL316" s="54"/>
      <c r="GS316" s="86"/>
      <c r="HC316" s="63"/>
      <c r="HJ316" s="86"/>
      <c r="HT316" s="63"/>
      <c r="HZ316" s="54"/>
      <c r="IA316" s="86"/>
      <c r="IJ316" s="54"/>
      <c r="IK316" s="86"/>
    </row>
    <row r="317" spans="1:245">
      <c r="A317" s="86">
        <v>287</v>
      </c>
      <c r="B317" s="117"/>
      <c r="C317" s="117"/>
      <c r="D317" s="117"/>
      <c r="E317" s="117"/>
      <c r="K317" s="117"/>
      <c r="L317" s="117"/>
      <c r="M317" s="117"/>
      <c r="N317" s="117"/>
      <c r="O317" s="117"/>
      <c r="P317" s="117"/>
      <c r="Q317" s="117"/>
      <c r="R317" s="63"/>
      <c r="S317" s="117"/>
      <c r="T317" s="117"/>
      <c r="U317" s="117"/>
      <c r="V317" s="117"/>
      <c r="W317" s="117"/>
      <c r="X317" s="117"/>
      <c r="Y317" s="117"/>
      <c r="Z317" s="117"/>
      <c r="AA317" s="117"/>
      <c r="AB317" s="117"/>
      <c r="AC317" s="117"/>
      <c r="AD317" s="117"/>
      <c r="AE317" s="117"/>
      <c r="AF317" s="74"/>
      <c r="AG317" s="117"/>
      <c r="AH317" s="117"/>
      <c r="AI317" s="117"/>
      <c r="AJ317" s="117"/>
      <c r="AK317" s="117"/>
      <c r="AL317" s="117"/>
      <c r="AM317" s="117"/>
      <c r="AN317" s="117"/>
      <c r="AO317" s="117"/>
      <c r="AP317" s="117"/>
      <c r="AQ317" s="117"/>
      <c r="AR317" s="117"/>
      <c r="AS317" s="145"/>
      <c r="AU317" s="117"/>
      <c r="AV317" s="45"/>
      <c r="AY317" s="162"/>
      <c r="BF317" s="45"/>
      <c r="BG317" s="246"/>
      <c r="BI317" s="138"/>
      <c r="BJ317" s="54"/>
      <c r="BK317" s="74"/>
      <c r="BL317" s="117"/>
      <c r="BM317" s="117"/>
      <c r="BN317" s="117"/>
      <c r="BO317" s="117"/>
      <c r="BP317" s="117"/>
      <c r="BQ317" s="117"/>
      <c r="BR317" s="117"/>
      <c r="BS317" s="117"/>
      <c r="BT317" s="117"/>
      <c r="BU317" s="117"/>
      <c r="BV317" s="117"/>
      <c r="BW317" s="117"/>
      <c r="BX317" s="117"/>
      <c r="BY317" s="117"/>
      <c r="CA317" s="102"/>
      <c r="CC317" s="86"/>
      <c r="CE317" s="102"/>
      <c r="CJ317" s="86"/>
      <c r="CP317" s="63"/>
      <c r="CQ317" s="54"/>
      <c r="CX317" s="86"/>
      <c r="DM317" s="342"/>
      <c r="DO317" s="63"/>
      <c r="DP317" s="86"/>
      <c r="ED317" s="54"/>
      <c r="EF317" s="63"/>
      <c r="EG317" s="86"/>
      <c r="EP317" s="63"/>
      <c r="EQ317" s="54"/>
      <c r="ER317" s="86"/>
      <c r="FF317" s="54"/>
      <c r="FG317" s="86"/>
      <c r="FO317" s="45"/>
      <c r="FT317" s="86"/>
      <c r="FW317" s="63"/>
      <c r="FX317" s="54"/>
      <c r="GB317" s="86"/>
      <c r="GK317" s="45"/>
      <c r="GL317" s="54"/>
      <c r="GS317" s="86"/>
      <c r="HC317" s="63"/>
      <c r="HJ317" s="86"/>
      <c r="HT317" s="63"/>
      <c r="HZ317" s="54"/>
      <c r="IA317" s="86"/>
      <c r="IJ317" s="54"/>
      <c r="IK317" s="86"/>
    </row>
    <row r="318" spans="1:245">
      <c r="A318" s="86">
        <v>288</v>
      </c>
      <c r="B318" s="117"/>
      <c r="C318" s="117"/>
      <c r="D318" s="117"/>
      <c r="E318" s="117"/>
      <c r="K318" s="117"/>
      <c r="L318" s="117"/>
      <c r="M318" s="117"/>
      <c r="N318" s="117"/>
      <c r="O318" s="117"/>
      <c r="P318" s="117"/>
      <c r="Q318" s="117"/>
      <c r="R318" s="63"/>
      <c r="S318" s="117"/>
      <c r="T318" s="117"/>
      <c r="U318" s="117"/>
      <c r="V318" s="117"/>
      <c r="W318" s="117"/>
      <c r="X318" s="117"/>
      <c r="Y318" s="117"/>
      <c r="Z318" s="117"/>
      <c r="AA318" s="117"/>
      <c r="AB318" s="117"/>
      <c r="AC318" s="117"/>
      <c r="AD318" s="117"/>
      <c r="AE318" s="117"/>
      <c r="AF318" s="74"/>
      <c r="AG318" s="117"/>
      <c r="AH318" s="117"/>
      <c r="AI318" s="117"/>
      <c r="AJ318" s="117"/>
      <c r="AK318" s="117"/>
      <c r="AL318" s="117"/>
      <c r="AM318" s="117"/>
      <c r="AN318" s="117"/>
      <c r="AO318" s="117"/>
      <c r="AP318" s="117"/>
      <c r="AQ318" s="117"/>
      <c r="AR318" s="117"/>
      <c r="AS318" s="145"/>
      <c r="AU318" s="117"/>
      <c r="AV318" s="45"/>
      <c r="AY318" s="162"/>
      <c r="BF318" s="45"/>
      <c r="BG318" s="246"/>
      <c r="BI318" s="138"/>
      <c r="BJ318" s="54"/>
      <c r="BK318" s="74"/>
      <c r="BL318" s="117"/>
      <c r="BM318" s="117"/>
      <c r="BN318" s="117"/>
      <c r="BO318" s="117"/>
      <c r="BP318" s="117"/>
      <c r="BQ318" s="117"/>
      <c r="BR318" s="117"/>
      <c r="BS318" s="117"/>
      <c r="BT318" s="117"/>
      <c r="BU318" s="117"/>
      <c r="BV318" s="117"/>
      <c r="BW318" s="117"/>
      <c r="BX318" s="117"/>
      <c r="BY318" s="117"/>
      <c r="CA318" s="102"/>
      <c r="CC318" s="86"/>
      <c r="CE318" s="102"/>
      <c r="CJ318" s="86"/>
      <c r="CP318" s="63"/>
      <c r="CQ318" s="54"/>
      <c r="CX318" s="86"/>
      <c r="DM318" s="342"/>
      <c r="DO318" s="63"/>
      <c r="DP318" s="86"/>
      <c r="ED318" s="54"/>
      <c r="EF318" s="63"/>
      <c r="EG318" s="86"/>
      <c r="EP318" s="63"/>
      <c r="EQ318" s="54"/>
      <c r="ER318" s="86"/>
      <c r="FF318" s="54"/>
      <c r="FG318" s="86"/>
      <c r="FO318" s="45"/>
      <c r="FT318" s="86"/>
      <c r="FW318" s="63"/>
      <c r="FX318" s="54"/>
      <c r="GB318" s="86"/>
      <c r="GK318" s="45"/>
      <c r="GL318" s="54"/>
      <c r="GS318" s="86"/>
      <c r="HC318" s="63"/>
      <c r="HJ318" s="86"/>
      <c r="HT318" s="63"/>
      <c r="HZ318" s="54"/>
      <c r="IA318" s="86"/>
      <c r="IJ318" s="54"/>
      <c r="IK318" s="86"/>
    </row>
    <row r="319" spans="1:245">
      <c r="A319" s="86">
        <v>289</v>
      </c>
      <c r="B319" s="117"/>
      <c r="C319" s="117"/>
      <c r="D319" s="117"/>
      <c r="E319" s="117"/>
      <c r="K319" s="117"/>
      <c r="L319" s="117"/>
      <c r="M319" s="117"/>
      <c r="N319" s="117"/>
      <c r="O319" s="117"/>
      <c r="P319" s="117"/>
      <c r="Q319" s="117"/>
      <c r="R319" s="63"/>
      <c r="S319" s="117"/>
      <c r="T319" s="117"/>
      <c r="U319" s="117"/>
      <c r="V319" s="117"/>
      <c r="W319" s="117"/>
      <c r="X319" s="117"/>
      <c r="Y319" s="117"/>
      <c r="Z319" s="117"/>
      <c r="AA319" s="117"/>
      <c r="AB319" s="117"/>
      <c r="AC319" s="117"/>
      <c r="AD319" s="117"/>
      <c r="AE319" s="117"/>
      <c r="AF319" s="74"/>
      <c r="AG319" s="117"/>
      <c r="AH319" s="117"/>
      <c r="AI319" s="117"/>
      <c r="AJ319" s="117"/>
      <c r="AK319" s="117"/>
      <c r="AL319" s="117"/>
      <c r="AM319" s="117"/>
      <c r="AN319" s="117"/>
      <c r="AO319" s="117"/>
      <c r="AP319" s="117"/>
      <c r="AQ319" s="117"/>
      <c r="AR319" s="117"/>
      <c r="AS319" s="145"/>
      <c r="AU319" s="117"/>
      <c r="AV319" s="45"/>
      <c r="AY319" s="162"/>
      <c r="BF319" s="45"/>
      <c r="BG319" s="246"/>
      <c r="BI319" s="138"/>
      <c r="BJ319" s="54"/>
      <c r="BK319" s="74"/>
      <c r="BL319" s="117"/>
      <c r="BM319" s="117"/>
      <c r="BN319" s="117"/>
      <c r="BO319" s="117"/>
      <c r="BP319" s="117"/>
      <c r="BQ319" s="117"/>
      <c r="BR319" s="117"/>
      <c r="BS319" s="117"/>
      <c r="BT319" s="117"/>
      <c r="BU319" s="117"/>
      <c r="BV319" s="117"/>
      <c r="BW319" s="117"/>
      <c r="BX319" s="117"/>
      <c r="BY319" s="117"/>
      <c r="CA319" s="102"/>
      <c r="CC319" s="86"/>
      <c r="CE319" s="102"/>
      <c r="CJ319" s="86"/>
      <c r="CP319" s="63"/>
      <c r="CQ319" s="54"/>
      <c r="CX319" s="86"/>
      <c r="DM319" s="342"/>
      <c r="DO319" s="63"/>
      <c r="DP319" s="86"/>
      <c r="ED319" s="54"/>
      <c r="EF319" s="63"/>
      <c r="EG319" s="86"/>
      <c r="EP319" s="63"/>
      <c r="EQ319" s="54"/>
      <c r="ER319" s="86"/>
      <c r="FF319" s="54"/>
      <c r="FG319" s="86"/>
      <c r="FO319" s="45"/>
      <c r="FT319" s="86"/>
      <c r="FW319" s="63"/>
      <c r="FX319" s="54"/>
      <c r="GB319" s="86"/>
      <c r="GK319" s="45"/>
      <c r="GL319" s="54"/>
      <c r="GS319" s="86"/>
      <c r="HC319" s="63"/>
      <c r="HJ319" s="86"/>
      <c r="HT319" s="63"/>
      <c r="HZ319" s="54"/>
      <c r="IA319" s="86"/>
      <c r="IJ319" s="54"/>
      <c r="IK319" s="86"/>
    </row>
    <row r="320" spans="1:245">
      <c r="A320" s="86">
        <v>290</v>
      </c>
      <c r="B320" s="117"/>
      <c r="C320" s="117"/>
      <c r="D320" s="117"/>
      <c r="E320" s="117"/>
      <c r="K320" s="117"/>
      <c r="L320" s="117"/>
      <c r="M320" s="117"/>
      <c r="N320" s="117"/>
      <c r="O320" s="117"/>
      <c r="P320" s="117"/>
      <c r="Q320" s="117"/>
      <c r="R320" s="63"/>
      <c r="S320" s="117"/>
      <c r="T320" s="117"/>
      <c r="U320" s="117"/>
      <c r="V320" s="117"/>
      <c r="W320" s="117"/>
      <c r="X320" s="117"/>
      <c r="Y320" s="117"/>
      <c r="Z320" s="117"/>
      <c r="AA320" s="117"/>
      <c r="AB320" s="117"/>
      <c r="AC320" s="117"/>
      <c r="AD320" s="117"/>
      <c r="AE320" s="117"/>
      <c r="AF320" s="74"/>
      <c r="AG320" s="117"/>
      <c r="AH320" s="117"/>
      <c r="AI320" s="117"/>
      <c r="AJ320" s="117"/>
      <c r="AK320" s="117"/>
      <c r="AL320" s="117"/>
      <c r="AM320" s="117"/>
      <c r="AN320" s="117"/>
      <c r="AO320" s="117"/>
      <c r="AP320" s="117"/>
      <c r="AQ320" s="117"/>
      <c r="AR320" s="117"/>
      <c r="AS320" s="145"/>
      <c r="AU320" s="117"/>
      <c r="AV320" s="45"/>
      <c r="AY320" s="162"/>
      <c r="BF320" s="45"/>
      <c r="BG320" s="246"/>
      <c r="BI320" s="138"/>
      <c r="BJ320" s="54"/>
      <c r="BK320" s="74"/>
      <c r="BL320" s="117"/>
      <c r="BM320" s="117"/>
      <c r="BN320" s="117"/>
      <c r="BO320" s="117"/>
      <c r="BP320" s="117"/>
      <c r="BQ320" s="117"/>
      <c r="BR320" s="117"/>
      <c r="BS320" s="117"/>
      <c r="BT320" s="117"/>
      <c r="BU320" s="117"/>
      <c r="BV320" s="117"/>
      <c r="BW320" s="117"/>
      <c r="BX320" s="117"/>
      <c r="BY320" s="117"/>
      <c r="CA320" s="102"/>
      <c r="CC320" s="86"/>
      <c r="CE320" s="102"/>
      <c r="CJ320" s="86"/>
      <c r="CP320" s="63"/>
      <c r="CQ320" s="54"/>
      <c r="CX320" s="86"/>
      <c r="DM320" s="342"/>
      <c r="DO320" s="63"/>
      <c r="DP320" s="86"/>
      <c r="ED320" s="54"/>
      <c r="EF320" s="63"/>
      <c r="EG320" s="86"/>
      <c r="EP320" s="63"/>
      <c r="EQ320" s="54"/>
      <c r="ER320" s="86"/>
      <c r="FF320" s="54"/>
      <c r="FG320" s="86"/>
      <c r="FO320" s="45"/>
      <c r="FT320" s="86"/>
      <c r="FW320" s="63"/>
      <c r="FX320" s="54"/>
      <c r="GB320" s="86"/>
      <c r="GK320" s="45"/>
      <c r="GL320" s="54"/>
      <c r="GS320" s="86"/>
      <c r="HC320" s="63"/>
      <c r="HJ320" s="86"/>
      <c r="HT320" s="63"/>
      <c r="HZ320" s="54"/>
      <c r="IA320" s="86"/>
      <c r="IJ320" s="54"/>
      <c r="IK320" s="86"/>
    </row>
    <row r="321" spans="1:245">
      <c r="A321" s="86">
        <v>291</v>
      </c>
      <c r="B321" s="117"/>
      <c r="C321" s="117"/>
      <c r="D321" s="117"/>
      <c r="E321" s="117"/>
      <c r="K321" s="117"/>
      <c r="L321" s="117"/>
      <c r="M321" s="117"/>
      <c r="N321" s="117"/>
      <c r="O321" s="117"/>
      <c r="P321" s="117"/>
      <c r="Q321" s="117"/>
      <c r="R321" s="63"/>
      <c r="S321" s="117"/>
      <c r="T321" s="117"/>
      <c r="U321" s="117"/>
      <c r="V321" s="117"/>
      <c r="W321" s="117"/>
      <c r="X321" s="117"/>
      <c r="Y321" s="117"/>
      <c r="Z321" s="117"/>
      <c r="AA321" s="117"/>
      <c r="AB321" s="117"/>
      <c r="AC321" s="117"/>
      <c r="AD321" s="117"/>
      <c r="AE321" s="117"/>
      <c r="AF321" s="74"/>
      <c r="AG321" s="117"/>
      <c r="AH321" s="117"/>
      <c r="AI321" s="117"/>
      <c r="AJ321" s="117"/>
      <c r="AK321" s="117"/>
      <c r="AL321" s="117"/>
      <c r="AM321" s="117"/>
      <c r="AN321" s="117"/>
      <c r="AO321" s="117"/>
      <c r="AP321" s="117"/>
      <c r="AQ321" s="117"/>
      <c r="AR321" s="117"/>
      <c r="AS321" s="145"/>
      <c r="AU321" s="117"/>
      <c r="AV321" s="45"/>
      <c r="AY321" s="162"/>
      <c r="BF321" s="45"/>
      <c r="BG321" s="246"/>
      <c r="BI321" s="138"/>
      <c r="BJ321" s="54"/>
      <c r="BK321" s="74"/>
      <c r="BL321" s="117"/>
      <c r="BM321" s="117"/>
      <c r="BN321" s="117"/>
      <c r="BO321" s="117"/>
      <c r="BP321" s="117"/>
      <c r="BQ321" s="117"/>
      <c r="BR321" s="117"/>
      <c r="BS321" s="117"/>
      <c r="BT321" s="117"/>
      <c r="BU321" s="117"/>
      <c r="BV321" s="117"/>
      <c r="BW321" s="117"/>
      <c r="BX321" s="117"/>
      <c r="BY321" s="117"/>
      <c r="CA321" s="102"/>
      <c r="CC321" s="86"/>
      <c r="CE321" s="102"/>
      <c r="CJ321" s="86"/>
      <c r="CP321" s="63"/>
      <c r="CQ321" s="54"/>
      <c r="CX321" s="86"/>
      <c r="DM321" s="342"/>
      <c r="DO321" s="63"/>
      <c r="DP321" s="86"/>
      <c r="ED321" s="54"/>
      <c r="EF321" s="63"/>
      <c r="EG321" s="86"/>
      <c r="EP321" s="63"/>
      <c r="EQ321" s="54"/>
      <c r="ER321" s="86"/>
      <c r="FF321" s="54"/>
      <c r="FG321" s="86"/>
      <c r="FO321" s="45"/>
      <c r="FT321" s="86"/>
      <c r="FW321" s="63"/>
      <c r="FX321" s="54"/>
      <c r="GB321" s="86"/>
      <c r="GK321" s="45"/>
      <c r="GL321" s="54"/>
      <c r="GS321" s="86"/>
      <c r="HC321" s="63"/>
      <c r="HJ321" s="86"/>
      <c r="HT321" s="63"/>
      <c r="HZ321" s="54"/>
      <c r="IA321" s="86"/>
      <c r="IJ321" s="54"/>
      <c r="IK321" s="86"/>
    </row>
    <row r="322" spans="1:245">
      <c r="A322" s="86">
        <v>292</v>
      </c>
      <c r="B322" s="117"/>
      <c r="C322" s="117"/>
      <c r="D322" s="117"/>
      <c r="E322" s="117"/>
      <c r="K322" s="117"/>
      <c r="L322" s="117"/>
      <c r="M322" s="117"/>
      <c r="N322" s="117"/>
      <c r="O322" s="117"/>
      <c r="P322" s="117"/>
      <c r="Q322" s="117"/>
      <c r="R322" s="63"/>
      <c r="S322" s="117"/>
      <c r="T322" s="117"/>
      <c r="U322" s="117"/>
      <c r="V322" s="117"/>
      <c r="W322" s="117"/>
      <c r="X322" s="117"/>
      <c r="Y322" s="117"/>
      <c r="Z322" s="117"/>
      <c r="AA322" s="117"/>
      <c r="AB322" s="117"/>
      <c r="AC322" s="117"/>
      <c r="AD322" s="117"/>
      <c r="AE322" s="117"/>
      <c r="AF322" s="74"/>
      <c r="AG322" s="117"/>
      <c r="AH322" s="117"/>
      <c r="AI322" s="117"/>
      <c r="AJ322" s="117"/>
      <c r="AK322" s="117"/>
      <c r="AL322" s="117"/>
      <c r="AM322" s="117"/>
      <c r="AN322" s="117"/>
      <c r="AO322" s="117"/>
      <c r="AP322" s="117"/>
      <c r="AQ322" s="117"/>
      <c r="AR322" s="117"/>
      <c r="AS322" s="145"/>
      <c r="AU322" s="117"/>
      <c r="AV322" s="45"/>
      <c r="AY322" s="162"/>
      <c r="BF322" s="45"/>
      <c r="BG322" s="246"/>
      <c r="BI322" s="138"/>
      <c r="BJ322" s="54"/>
      <c r="BK322" s="74"/>
      <c r="BL322" s="117"/>
      <c r="BM322" s="117"/>
      <c r="BN322" s="117"/>
      <c r="BO322" s="117"/>
      <c r="BP322" s="117"/>
      <c r="BQ322" s="117"/>
      <c r="BR322" s="117"/>
      <c r="BS322" s="117"/>
      <c r="BT322" s="117"/>
      <c r="BU322" s="117"/>
      <c r="BV322" s="117"/>
      <c r="BW322" s="117"/>
      <c r="BX322" s="117"/>
      <c r="BY322" s="117"/>
      <c r="CA322" s="102"/>
      <c r="CC322" s="86"/>
      <c r="CE322" s="102"/>
      <c r="CJ322" s="86"/>
      <c r="CP322" s="63"/>
      <c r="CQ322" s="54"/>
      <c r="CX322" s="86"/>
      <c r="DM322" s="342"/>
      <c r="DO322" s="63"/>
      <c r="DP322" s="86"/>
      <c r="ED322" s="54"/>
      <c r="EF322" s="63"/>
      <c r="EG322" s="86"/>
      <c r="EP322" s="63"/>
      <c r="EQ322" s="54"/>
      <c r="ER322" s="86"/>
      <c r="FF322" s="54"/>
      <c r="FG322" s="86"/>
      <c r="FO322" s="45"/>
      <c r="FT322" s="86"/>
      <c r="FW322" s="63"/>
      <c r="FX322" s="54"/>
      <c r="GB322" s="86"/>
      <c r="GK322" s="45"/>
      <c r="GL322" s="54"/>
      <c r="GS322" s="86"/>
      <c r="HC322" s="63"/>
      <c r="HJ322" s="86"/>
      <c r="HT322" s="63"/>
      <c r="HZ322" s="54"/>
      <c r="IA322" s="86"/>
      <c r="IJ322" s="54"/>
      <c r="IK322" s="86"/>
    </row>
    <row r="323" spans="1:245">
      <c r="A323" s="86">
        <v>293</v>
      </c>
      <c r="B323" s="117"/>
      <c r="C323" s="117"/>
      <c r="D323" s="117"/>
      <c r="E323" s="117"/>
      <c r="K323" s="117"/>
      <c r="L323" s="117"/>
      <c r="M323" s="117"/>
      <c r="N323" s="117"/>
      <c r="O323" s="117"/>
      <c r="P323" s="117"/>
      <c r="Q323" s="117"/>
      <c r="R323" s="63"/>
      <c r="S323" s="117"/>
      <c r="T323" s="117"/>
      <c r="U323" s="117"/>
      <c r="V323" s="117"/>
      <c r="W323" s="117"/>
      <c r="X323" s="117"/>
      <c r="Y323" s="117"/>
      <c r="Z323" s="117"/>
      <c r="AA323" s="117"/>
      <c r="AB323" s="117"/>
      <c r="AC323" s="117"/>
      <c r="AD323" s="117"/>
      <c r="AE323" s="117"/>
      <c r="AF323" s="74"/>
      <c r="AG323" s="117"/>
      <c r="AH323" s="117"/>
      <c r="AI323" s="117"/>
      <c r="AJ323" s="117"/>
      <c r="AK323" s="117"/>
      <c r="AL323" s="117"/>
      <c r="AM323" s="117"/>
      <c r="AN323" s="117"/>
      <c r="AO323" s="117"/>
      <c r="AP323" s="117"/>
      <c r="AQ323" s="117"/>
      <c r="AR323" s="117"/>
      <c r="AS323" s="145"/>
      <c r="AU323" s="117"/>
      <c r="AV323" s="45"/>
      <c r="AY323" s="162"/>
      <c r="BF323" s="45"/>
      <c r="BG323" s="246"/>
      <c r="BI323" s="138"/>
      <c r="BJ323" s="54"/>
      <c r="BK323" s="74"/>
      <c r="BL323" s="117"/>
      <c r="BM323" s="117"/>
      <c r="BN323" s="117"/>
      <c r="BO323" s="117"/>
      <c r="BP323" s="117"/>
      <c r="BQ323" s="117"/>
      <c r="BR323" s="117"/>
      <c r="BS323" s="117"/>
      <c r="BT323" s="117"/>
      <c r="BU323" s="117"/>
      <c r="BV323" s="117"/>
      <c r="BW323" s="117"/>
      <c r="BX323" s="117"/>
      <c r="BY323" s="117"/>
      <c r="CA323" s="102"/>
      <c r="CC323" s="86"/>
      <c r="CE323" s="102"/>
      <c r="CJ323" s="86"/>
      <c r="CP323" s="63"/>
      <c r="CQ323" s="54"/>
      <c r="CX323" s="86"/>
      <c r="DM323" s="342"/>
      <c r="DO323" s="63"/>
      <c r="DP323" s="86"/>
      <c r="ED323" s="54"/>
      <c r="EF323" s="63"/>
      <c r="EG323" s="86"/>
      <c r="EP323" s="63"/>
      <c r="EQ323" s="54"/>
      <c r="ER323" s="86"/>
      <c r="FF323" s="54"/>
      <c r="FG323" s="86"/>
      <c r="FO323" s="45"/>
      <c r="FT323" s="86"/>
      <c r="FW323" s="63"/>
      <c r="FX323" s="54"/>
      <c r="GB323" s="86"/>
      <c r="GK323" s="45"/>
      <c r="GL323" s="54"/>
      <c r="GS323" s="86"/>
      <c r="HC323" s="63"/>
      <c r="HJ323" s="86"/>
      <c r="HT323" s="63"/>
      <c r="HZ323" s="54"/>
      <c r="IA323" s="86"/>
      <c r="IJ323" s="54"/>
      <c r="IK323" s="86"/>
    </row>
    <row r="324" spans="1:245">
      <c r="A324" s="86">
        <v>294</v>
      </c>
      <c r="B324" s="117"/>
      <c r="C324" s="117"/>
      <c r="D324" s="117"/>
      <c r="E324" s="117"/>
      <c r="K324" s="117"/>
      <c r="L324" s="117"/>
      <c r="M324" s="117"/>
      <c r="N324" s="117"/>
      <c r="O324" s="117"/>
      <c r="P324" s="117"/>
      <c r="Q324" s="117"/>
      <c r="R324" s="63"/>
      <c r="S324" s="117"/>
      <c r="T324" s="117"/>
      <c r="U324" s="117"/>
      <c r="V324" s="117"/>
      <c r="W324" s="117"/>
      <c r="X324" s="117"/>
      <c r="Y324" s="117"/>
      <c r="Z324" s="117"/>
      <c r="AA324" s="117"/>
      <c r="AB324" s="117"/>
      <c r="AC324" s="117"/>
      <c r="AD324" s="117"/>
      <c r="AE324" s="117"/>
      <c r="AF324" s="74"/>
      <c r="AG324" s="117"/>
      <c r="AH324" s="117"/>
      <c r="AI324" s="117"/>
      <c r="AJ324" s="117"/>
      <c r="AK324" s="117"/>
      <c r="AL324" s="117"/>
      <c r="AM324" s="117"/>
      <c r="AN324" s="117"/>
      <c r="AO324" s="117"/>
      <c r="AP324" s="117"/>
      <c r="AQ324" s="117"/>
      <c r="AR324" s="117"/>
      <c r="AS324" s="145"/>
      <c r="AU324" s="117"/>
      <c r="AV324" s="45"/>
      <c r="AY324" s="162"/>
      <c r="BF324" s="45"/>
      <c r="BG324" s="246"/>
      <c r="BI324" s="138"/>
      <c r="BJ324" s="54"/>
      <c r="BK324" s="74"/>
      <c r="BL324" s="117"/>
      <c r="BM324" s="117"/>
      <c r="BN324" s="117"/>
      <c r="BO324" s="117"/>
      <c r="BP324" s="117"/>
      <c r="BQ324" s="117"/>
      <c r="BR324" s="117"/>
      <c r="BS324" s="117"/>
      <c r="BT324" s="117"/>
      <c r="BU324" s="117"/>
      <c r="BV324" s="117"/>
      <c r="BW324" s="117"/>
      <c r="BX324" s="117"/>
      <c r="BY324" s="117"/>
      <c r="CA324" s="102"/>
      <c r="CC324" s="86"/>
      <c r="CE324" s="102"/>
      <c r="CJ324" s="86"/>
      <c r="CP324" s="63"/>
      <c r="CQ324" s="54"/>
      <c r="CX324" s="86"/>
      <c r="DM324" s="342"/>
      <c r="DO324" s="63"/>
      <c r="DP324" s="86"/>
      <c r="ED324" s="54"/>
      <c r="EF324" s="63"/>
      <c r="EG324" s="86"/>
      <c r="EP324" s="63"/>
      <c r="EQ324" s="54"/>
      <c r="ER324" s="86"/>
      <c r="FF324" s="54"/>
      <c r="FG324" s="86"/>
      <c r="FO324" s="45"/>
      <c r="FT324" s="86"/>
      <c r="FW324" s="63"/>
      <c r="FX324" s="54"/>
      <c r="GB324" s="86"/>
      <c r="GK324" s="45"/>
      <c r="GL324" s="54"/>
      <c r="GS324" s="86"/>
      <c r="HC324" s="63"/>
      <c r="HJ324" s="86"/>
      <c r="HT324" s="63"/>
      <c r="HZ324" s="54"/>
      <c r="IA324" s="86"/>
      <c r="IJ324" s="54"/>
      <c r="IK324" s="86"/>
    </row>
    <row r="325" spans="1:245">
      <c r="A325" s="86">
        <v>295</v>
      </c>
      <c r="B325" s="117"/>
      <c r="C325" s="117"/>
      <c r="D325" s="117"/>
      <c r="E325" s="117"/>
      <c r="K325" s="117"/>
      <c r="L325" s="117"/>
      <c r="M325" s="117"/>
      <c r="N325" s="117"/>
      <c r="O325" s="117"/>
      <c r="P325" s="117"/>
      <c r="Q325" s="117"/>
      <c r="R325" s="63"/>
      <c r="S325" s="117"/>
      <c r="T325" s="117"/>
      <c r="U325" s="117"/>
      <c r="V325" s="117"/>
      <c r="W325" s="117"/>
      <c r="X325" s="117"/>
      <c r="Y325" s="117"/>
      <c r="Z325" s="117"/>
      <c r="AA325" s="117"/>
      <c r="AB325" s="117"/>
      <c r="AC325" s="117"/>
      <c r="AD325" s="117"/>
      <c r="AE325" s="117"/>
      <c r="AF325" s="74"/>
      <c r="AG325" s="117"/>
      <c r="AH325" s="117"/>
      <c r="AI325" s="117"/>
      <c r="AJ325" s="117"/>
      <c r="AK325" s="117"/>
      <c r="AL325" s="117"/>
      <c r="AM325" s="117"/>
      <c r="AN325" s="117"/>
      <c r="AO325" s="117"/>
      <c r="AP325" s="117"/>
      <c r="AQ325" s="117"/>
      <c r="AR325" s="117"/>
      <c r="AS325" s="145"/>
      <c r="AU325" s="117"/>
      <c r="AV325" s="45"/>
      <c r="AY325" s="162"/>
      <c r="BF325" s="45"/>
      <c r="BG325" s="246"/>
      <c r="BI325" s="138"/>
      <c r="BJ325" s="54"/>
      <c r="BK325" s="74"/>
      <c r="BL325" s="117"/>
      <c r="BM325" s="117"/>
      <c r="BN325" s="117"/>
      <c r="BO325" s="117"/>
      <c r="BP325" s="117"/>
      <c r="BQ325" s="117"/>
      <c r="BR325" s="117"/>
      <c r="BS325" s="117"/>
      <c r="BT325" s="117"/>
      <c r="BU325" s="117"/>
      <c r="BV325" s="117"/>
      <c r="BW325" s="117"/>
      <c r="BX325" s="117"/>
      <c r="BY325" s="117"/>
      <c r="CA325" s="102"/>
      <c r="CC325" s="86"/>
      <c r="CE325" s="102"/>
      <c r="CJ325" s="86"/>
      <c r="CP325" s="63"/>
      <c r="CQ325" s="54"/>
      <c r="CX325" s="86"/>
      <c r="DM325" s="342"/>
      <c r="DO325" s="63"/>
      <c r="DP325" s="86"/>
      <c r="ED325" s="54"/>
      <c r="EF325" s="63"/>
      <c r="EG325" s="86"/>
      <c r="EP325" s="63"/>
      <c r="EQ325" s="54"/>
      <c r="ER325" s="86"/>
      <c r="FF325" s="54"/>
      <c r="FG325" s="86"/>
      <c r="FO325" s="45"/>
      <c r="FT325" s="86"/>
      <c r="FW325" s="63"/>
      <c r="FX325" s="54"/>
      <c r="GB325" s="86"/>
      <c r="GK325" s="45"/>
      <c r="GL325" s="54"/>
      <c r="GS325" s="86"/>
      <c r="HC325" s="63"/>
      <c r="HJ325" s="86"/>
      <c r="HT325" s="63"/>
      <c r="HZ325" s="54"/>
      <c r="IA325" s="86"/>
      <c r="IJ325" s="54"/>
      <c r="IK325" s="86"/>
    </row>
    <row r="326" spans="1:245">
      <c r="A326" s="86">
        <v>296</v>
      </c>
      <c r="B326" s="117"/>
      <c r="C326" s="117"/>
      <c r="D326" s="117"/>
      <c r="E326" s="117"/>
      <c r="K326" s="117"/>
      <c r="L326" s="117"/>
      <c r="M326" s="117"/>
      <c r="N326" s="117"/>
      <c r="O326" s="117"/>
      <c r="P326" s="117"/>
      <c r="Q326" s="117"/>
      <c r="R326" s="63"/>
      <c r="S326" s="117"/>
      <c r="T326" s="117"/>
      <c r="U326" s="117"/>
      <c r="V326" s="117"/>
      <c r="W326" s="117"/>
      <c r="X326" s="117"/>
      <c r="Y326" s="117"/>
      <c r="Z326" s="117"/>
      <c r="AA326" s="117"/>
      <c r="AB326" s="117"/>
      <c r="AC326" s="117"/>
      <c r="AD326" s="117"/>
      <c r="AE326" s="117"/>
      <c r="AF326" s="74"/>
      <c r="AG326" s="117"/>
      <c r="AH326" s="117"/>
      <c r="AI326" s="117"/>
      <c r="AJ326" s="117"/>
      <c r="AK326" s="117"/>
      <c r="AL326" s="117"/>
      <c r="AM326" s="117"/>
      <c r="AN326" s="117"/>
      <c r="AO326" s="117"/>
      <c r="AP326" s="117"/>
      <c r="AQ326" s="117"/>
      <c r="AR326" s="117"/>
      <c r="AS326" s="145"/>
      <c r="AU326" s="117"/>
      <c r="AV326" s="45"/>
      <c r="AY326" s="162"/>
      <c r="BF326" s="45"/>
      <c r="BG326" s="246"/>
      <c r="BI326" s="138"/>
      <c r="BJ326" s="54"/>
      <c r="BK326" s="74"/>
      <c r="BL326" s="117"/>
      <c r="BM326" s="117"/>
      <c r="BN326" s="117"/>
      <c r="BO326" s="117"/>
      <c r="BP326" s="117"/>
      <c r="BQ326" s="117"/>
      <c r="BR326" s="117"/>
      <c r="BS326" s="117"/>
      <c r="BT326" s="117"/>
      <c r="BU326" s="117"/>
      <c r="BV326" s="117"/>
      <c r="BW326" s="117"/>
      <c r="BX326" s="117"/>
      <c r="BY326" s="117"/>
      <c r="CA326" s="102"/>
      <c r="CC326" s="86"/>
      <c r="CE326" s="102"/>
      <c r="CJ326" s="86"/>
      <c r="CP326" s="63"/>
      <c r="CQ326" s="54"/>
      <c r="CX326" s="86"/>
      <c r="DM326" s="342"/>
      <c r="DO326" s="63"/>
      <c r="DP326" s="86"/>
      <c r="ED326" s="54"/>
      <c r="EF326" s="63"/>
      <c r="EG326" s="86"/>
      <c r="EP326" s="63"/>
      <c r="EQ326" s="54"/>
      <c r="ER326" s="86"/>
      <c r="FF326" s="54"/>
      <c r="FG326" s="86"/>
      <c r="FO326" s="45"/>
      <c r="FT326" s="86"/>
      <c r="FW326" s="63"/>
      <c r="FX326" s="54"/>
      <c r="GB326" s="86"/>
      <c r="GK326" s="45"/>
      <c r="GL326" s="54"/>
      <c r="GS326" s="86"/>
      <c r="HC326" s="63"/>
      <c r="HJ326" s="86"/>
      <c r="HT326" s="63"/>
      <c r="HZ326" s="54"/>
      <c r="IA326" s="86"/>
      <c r="IJ326" s="54"/>
      <c r="IK326" s="86"/>
    </row>
    <row r="327" spans="1:245">
      <c r="A327" s="86">
        <v>297</v>
      </c>
      <c r="B327" s="117"/>
      <c r="C327" s="117"/>
      <c r="D327" s="117"/>
      <c r="E327" s="117"/>
      <c r="K327" s="117"/>
      <c r="L327" s="117"/>
      <c r="M327" s="117"/>
      <c r="N327" s="117"/>
      <c r="O327" s="117"/>
      <c r="P327" s="117"/>
      <c r="Q327" s="117"/>
      <c r="R327" s="63"/>
      <c r="S327" s="117"/>
      <c r="T327" s="117"/>
      <c r="U327" s="117"/>
      <c r="V327" s="117"/>
      <c r="W327" s="117"/>
      <c r="X327" s="117"/>
      <c r="Y327" s="117"/>
      <c r="Z327" s="117"/>
      <c r="AA327" s="117"/>
      <c r="AB327" s="117"/>
      <c r="AC327" s="117"/>
      <c r="AD327" s="117"/>
      <c r="AE327" s="117"/>
      <c r="AF327" s="74"/>
      <c r="AG327" s="117"/>
      <c r="AH327" s="117"/>
      <c r="AI327" s="117"/>
      <c r="AJ327" s="117"/>
      <c r="AK327" s="117"/>
      <c r="AL327" s="117"/>
      <c r="AM327" s="117"/>
      <c r="AN327" s="117"/>
      <c r="AO327" s="117"/>
      <c r="AP327" s="117"/>
      <c r="AQ327" s="117"/>
      <c r="AR327" s="117"/>
      <c r="AS327" s="145"/>
      <c r="AU327" s="117"/>
      <c r="AV327" s="45"/>
      <c r="AY327" s="162"/>
      <c r="BF327" s="45"/>
      <c r="BG327" s="246"/>
      <c r="BI327" s="138"/>
      <c r="BJ327" s="54"/>
      <c r="BK327" s="74"/>
      <c r="BL327" s="117"/>
      <c r="BM327" s="117"/>
      <c r="BN327" s="117"/>
      <c r="BO327" s="117"/>
      <c r="BP327" s="117"/>
      <c r="BQ327" s="117"/>
      <c r="BR327" s="117"/>
      <c r="BS327" s="117"/>
      <c r="BT327" s="117"/>
      <c r="BU327" s="117"/>
      <c r="BV327" s="117"/>
      <c r="BW327" s="117"/>
      <c r="BX327" s="117"/>
      <c r="BY327" s="117"/>
      <c r="CA327" s="102"/>
      <c r="CC327" s="86"/>
      <c r="CE327" s="102"/>
      <c r="CJ327" s="86"/>
      <c r="CP327" s="63"/>
      <c r="CQ327" s="54"/>
      <c r="CX327" s="86"/>
      <c r="DM327" s="342"/>
      <c r="DO327" s="63"/>
      <c r="DP327" s="86"/>
      <c r="ED327" s="54"/>
      <c r="EF327" s="63"/>
      <c r="EG327" s="86"/>
      <c r="EP327" s="63"/>
      <c r="EQ327" s="54"/>
      <c r="ER327" s="86"/>
      <c r="FF327" s="54"/>
      <c r="FG327" s="86"/>
      <c r="FO327" s="45"/>
      <c r="FT327" s="86"/>
      <c r="FW327" s="63"/>
      <c r="FX327" s="54"/>
      <c r="GB327" s="86"/>
      <c r="GK327" s="45"/>
      <c r="GL327" s="54"/>
      <c r="GS327" s="86"/>
      <c r="HC327" s="63"/>
      <c r="HJ327" s="86"/>
      <c r="HT327" s="63"/>
      <c r="HZ327" s="54"/>
      <c r="IA327" s="86"/>
      <c r="IJ327" s="54"/>
      <c r="IK327" s="86"/>
    </row>
    <row r="328" spans="1:245">
      <c r="A328" s="86">
        <v>298</v>
      </c>
      <c r="B328" s="117"/>
      <c r="C328" s="117"/>
      <c r="D328" s="117"/>
      <c r="E328" s="117"/>
      <c r="K328" s="117"/>
      <c r="L328" s="117"/>
      <c r="M328" s="117"/>
      <c r="N328" s="117"/>
      <c r="O328" s="117"/>
      <c r="P328" s="117"/>
      <c r="Q328" s="117"/>
      <c r="R328" s="63"/>
      <c r="S328" s="117"/>
      <c r="T328" s="117"/>
      <c r="U328" s="117"/>
      <c r="V328" s="117"/>
      <c r="W328" s="117"/>
      <c r="X328" s="117"/>
      <c r="Y328" s="117"/>
      <c r="Z328" s="117"/>
      <c r="AA328" s="117"/>
      <c r="AB328" s="117"/>
      <c r="AC328" s="117"/>
      <c r="AD328" s="117"/>
      <c r="AE328" s="117"/>
      <c r="AF328" s="74"/>
      <c r="AG328" s="117"/>
      <c r="AH328" s="117"/>
      <c r="AI328" s="117"/>
      <c r="AJ328" s="117"/>
      <c r="AK328" s="117"/>
      <c r="AL328" s="117"/>
      <c r="AM328" s="117"/>
      <c r="AN328" s="117"/>
      <c r="AO328" s="117"/>
      <c r="AP328" s="117"/>
      <c r="AQ328" s="117"/>
      <c r="AR328" s="117"/>
      <c r="AS328" s="145"/>
      <c r="AU328" s="117"/>
      <c r="AV328" s="45"/>
      <c r="AY328" s="162"/>
      <c r="BF328" s="45"/>
      <c r="BG328" s="246"/>
      <c r="BI328" s="138"/>
      <c r="BJ328" s="54"/>
      <c r="BK328" s="74"/>
      <c r="BL328" s="117"/>
      <c r="BM328" s="117"/>
      <c r="BN328" s="117"/>
      <c r="BO328" s="117"/>
      <c r="BP328" s="117"/>
      <c r="BQ328" s="117"/>
      <c r="BR328" s="117"/>
      <c r="BS328" s="117"/>
      <c r="BT328" s="117"/>
      <c r="BU328" s="117"/>
      <c r="BV328" s="117"/>
      <c r="BW328" s="117"/>
      <c r="BX328" s="117"/>
      <c r="BY328" s="117"/>
      <c r="CA328" s="102"/>
      <c r="CC328" s="86"/>
      <c r="CE328" s="102"/>
      <c r="CJ328" s="86"/>
      <c r="CP328" s="63"/>
      <c r="CQ328" s="54"/>
      <c r="CX328" s="86"/>
      <c r="DM328" s="342"/>
      <c r="DO328" s="63"/>
      <c r="DP328" s="86"/>
      <c r="ED328" s="54"/>
      <c r="EF328" s="63"/>
      <c r="EG328" s="86"/>
      <c r="EP328" s="63"/>
      <c r="EQ328" s="54"/>
      <c r="ER328" s="86"/>
      <c r="FF328" s="54"/>
      <c r="FG328" s="86"/>
      <c r="FO328" s="45"/>
      <c r="FT328" s="86"/>
      <c r="FW328" s="63"/>
      <c r="FX328" s="54"/>
      <c r="GB328" s="86"/>
      <c r="GK328" s="45"/>
      <c r="GL328" s="54"/>
      <c r="GS328" s="86"/>
      <c r="HC328" s="63"/>
      <c r="HJ328" s="86"/>
      <c r="HT328" s="63"/>
      <c r="HZ328" s="54"/>
      <c r="IA328" s="86"/>
      <c r="IJ328" s="54"/>
      <c r="IK328" s="86"/>
    </row>
    <row r="329" spans="1:245">
      <c r="A329" s="86">
        <v>299</v>
      </c>
      <c r="B329" s="117"/>
      <c r="C329" s="117"/>
      <c r="D329" s="117"/>
      <c r="E329" s="117"/>
      <c r="K329" s="117"/>
      <c r="L329" s="117"/>
      <c r="M329" s="117"/>
      <c r="N329" s="117"/>
      <c r="O329" s="117"/>
      <c r="P329" s="117"/>
      <c r="Q329" s="117"/>
      <c r="R329" s="63"/>
      <c r="S329" s="117"/>
      <c r="T329" s="117"/>
      <c r="U329" s="117"/>
      <c r="V329" s="117"/>
      <c r="W329" s="117"/>
      <c r="X329" s="117"/>
      <c r="Y329" s="117"/>
      <c r="Z329" s="117"/>
      <c r="AA329" s="117"/>
      <c r="AB329" s="117"/>
      <c r="AC329" s="117"/>
      <c r="AD329" s="117"/>
      <c r="AE329" s="117"/>
      <c r="AF329" s="74"/>
      <c r="AG329" s="117"/>
      <c r="AH329" s="117"/>
      <c r="AI329" s="117"/>
      <c r="AJ329" s="117"/>
      <c r="AK329" s="117"/>
      <c r="AL329" s="117"/>
      <c r="AM329" s="117"/>
      <c r="AN329" s="117"/>
      <c r="AO329" s="117"/>
      <c r="AP329" s="117"/>
      <c r="AQ329" s="117"/>
      <c r="AR329" s="117"/>
      <c r="AS329" s="145"/>
      <c r="AU329" s="117"/>
      <c r="AV329" s="45"/>
      <c r="AY329" s="162"/>
      <c r="BF329" s="45"/>
      <c r="BG329" s="246"/>
      <c r="BI329" s="138"/>
      <c r="BJ329" s="54"/>
      <c r="BK329" s="74"/>
      <c r="BL329" s="117"/>
      <c r="BM329" s="117"/>
      <c r="BN329" s="117"/>
      <c r="BO329" s="117"/>
      <c r="BP329" s="117"/>
      <c r="BQ329" s="117"/>
      <c r="BR329" s="117"/>
      <c r="BS329" s="117"/>
      <c r="BT329" s="117"/>
      <c r="BU329" s="117"/>
      <c r="BV329" s="117"/>
      <c r="BW329" s="117"/>
      <c r="BX329" s="117"/>
      <c r="BY329" s="117"/>
      <c r="CA329" s="102"/>
      <c r="CC329" s="86"/>
      <c r="CE329" s="102"/>
      <c r="CJ329" s="86"/>
      <c r="CP329" s="63"/>
      <c r="CQ329" s="54"/>
      <c r="CX329" s="86"/>
      <c r="DM329" s="342"/>
      <c r="DO329" s="63"/>
      <c r="DP329" s="86"/>
      <c r="ED329" s="54"/>
      <c r="EF329" s="63"/>
      <c r="EG329" s="86"/>
      <c r="EP329" s="63"/>
      <c r="EQ329" s="54"/>
      <c r="ER329" s="86"/>
      <c r="FF329" s="54"/>
      <c r="FG329" s="86"/>
      <c r="FO329" s="45"/>
      <c r="FT329" s="86"/>
      <c r="FW329" s="63"/>
      <c r="FX329" s="54"/>
      <c r="GB329" s="86"/>
      <c r="GK329" s="45"/>
      <c r="GL329" s="54"/>
      <c r="GS329" s="86"/>
      <c r="HC329" s="63"/>
      <c r="HJ329" s="86"/>
      <c r="HT329" s="63"/>
      <c r="HZ329" s="54"/>
      <c r="IA329" s="86"/>
      <c r="IJ329" s="54"/>
      <c r="IK329" s="86"/>
    </row>
    <row r="330" spans="1:245">
      <c r="A330" s="86">
        <v>300</v>
      </c>
      <c r="B330" s="117"/>
      <c r="C330" s="117"/>
      <c r="D330" s="117"/>
      <c r="E330" s="117"/>
      <c r="K330" s="117"/>
      <c r="L330" s="117"/>
      <c r="M330" s="117"/>
      <c r="N330" s="117"/>
      <c r="O330" s="117"/>
      <c r="P330" s="117"/>
      <c r="Q330" s="117"/>
      <c r="R330" s="63"/>
      <c r="S330" s="117"/>
      <c r="T330" s="117"/>
      <c r="U330" s="117"/>
      <c r="V330" s="117"/>
      <c r="W330" s="117"/>
      <c r="X330" s="117"/>
      <c r="Y330" s="117"/>
      <c r="Z330" s="117"/>
      <c r="AA330" s="117"/>
      <c r="AB330" s="117"/>
      <c r="AC330" s="117"/>
      <c r="AD330" s="117"/>
      <c r="AE330" s="117"/>
      <c r="AF330" s="74"/>
      <c r="AG330" s="117"/>
      <c r="AH330" s="117"/>
      <c r="AI330" s="117"/>
      <c r="AJ330" s="117"/>
      <c r="AK330" s="117"/>
      <c r="AL330" s="117"/>
      <c r="AM330" s="117"/>
      <c r="AN330" s="117"/>
      <c r="AO330" s="117"/>
      <c r="AP330" s="117"/>
      <c r="AQ330" s="117"/>
      <c r="AR330" s="117"/>
      <c r="AS330" s="145"/>
      <c r="AU330" s="117"/>
      <c r="AV330" s="45"/>
      <c r="AY330" s="162"/>
      <c r="BF330" s="45"/>
      <c r="BG330" s="246"/>
      <c r="BI330" s="138"/>
      <c r="BJ330" s="54"/>
      <c r="BK330" s="74"/>
      <c r="BL330" s="117"/>
      <c r="BM330" s="117"/>
      <c r="BN330" s="117"/>
      <c r="BO330" s="117"/>
      <c r="BP330" s="117"/>
      <c r="BQ330" s="117"/>
      <c r="BR330" s="117"/>
      <c r="BS330" s="117"/>
      <c r="BT330" s="117"/>
      <c r="BU330" s="117"/>
      <c r="BV330" s="117"/>
      <c r="BW330" s="117"/>
      <c r="BX330" s="117"/>
      <c r="BY330" s="117"/>
      <c r="CA330" s="102"/>
      <c r="CC330" s="86"/>
      <c r="CE330" s="102"/>
      <c r="CJ330" s="86"/>
      <c r="CP330" s="63"/>
      <c r="CQ330" s="54"/>
      <c r="CX330" s="86"/>
      <c r="DM330" s="342"/>
      <c r="DO330" s="63"/>
      <c r="DP330" s="86"/>
      <c r="ED330" s="54"/>
      <c r="EF330" s="63"/>
      <c r="EG330" s="86"/>
      <c r="EP330" s="63"/>
      <c r="EQ330" s="54"/>
      <c r="ER330" s="86"/>
      <c r="FF330" s="54"/>
      <c r="FG330" s="86"/>
      <c r="FO330" s="45"/>
      <c r="FT330" s="86"/>
      <c r="FW330" s="63"/>
      <c r="FX330" s="54"/>
      <c r="GB330" s="86"/>
      <c r="GK330" s="45"/>
      <c r="GL330" s="54"/>
      <c r="GS330" s="86"/>
      <c r="HC330" s="63"/>
      <c r="HJ330" s="86"/>
      <c r="HT330" s="63"/>
      <c r="HZ330" s="54"/>
      <c r="IA330" s="86"/>
      <c r="IJ330" s="54"/>
      <c r="IK330" s="86"/>
    </row>
    <row r="331" spans="1:245">
      <c r="A331" s="86">
        <v>301</v>
      </c>
      <c r="B331" s="117"/>
      <c r="C331" s="117"/>
      <c r="D331" s="117"/>
      <c r="E331" s="117"/>
      <c r="K331" s="117"/>
      <c r="L331" s="117"/>
      <c r="M331" s="117"/>
      <c r="N331" s="117"/>
      <c r="O331" s="117"/>
      <c r="P331" s="117"/>
      <c r="Q331" s="117"/>
      <c r="R331" s="63"/>
      <c r="S331" s="117"/>
      <c r="T331" s="117"/>
      <c r="U331" s="117"/>
      <c r="V331" s="117"/>
      <c r="W331" s="117"/>
      <c r="X331" s="117"/>
      <c r="Y331" s="117"/>
      <c r="Z331" s="117"/>
      <c r="AA331" s="117"/>
      <c r="AB331" s="117"/>
      <c r="AC331" s="117"/>
      <c r="AD331" s="117"/>
      <c r="AE331" s="117"/>
      <c r="AF331" s="74"/>
      <c r="AG331" s="117"/>
      <c r="AH331" s="117"/>
      <c r="AI331" s="117"/>
      <c r="AJ331" s="117"/>
      <c r="AK331" s="117"/>
      <c r="AL331" s="117"/>
      <c r="AM331" s="117"/>
      <c r="AN331" s="117"/>
      <c r="AO331" s="117"/>
      <c r="AP331" s="117"/>
      <c r="AQ331" s="117"/>
      <c r="AR331" s="117"/>
      <c r="AS331" s="145"/>
      <c r="AU331" s="117"/>
      <c r="AV331" s="45"/>
      <c r="AY331" s="162"/>
      <c r="BF331" s="45"/>
      <c r="BG331" s="246"/>
      <c r="BI331" s="138"/>
      <c r="BJ331" s="54"/>
      <c r="BK331" s="74"/>
      <c r="BL331" s="117"/>
      <c r="BM331" s="117"/>
      <c r="BN331" s="117"/>
      <c r="BO331" s="117"/>
      <c r="BP331" s="117"/>
      <c r="BQ331" s="117"/>
      <c r="BR331" s="117"/>
      <c r="BS331" s="117"/>
      <c r="BT331" s="117"/>
      <c r="BU331" s="117"/>
      <c r="BV331" s="117"/>
      <c r="BW331" s="117"/>
      <c r="BX331" s="117"/>
      <c r="BY331" s="117"/>
      <c r="CA331" s="102"/>
      <c r="CC331" s="86"/>
      <c r="CE331" s="102"/>
      <c r="CJ331" s="86"/>
      <c r="CP331" s="63"/>
      <c r="CQ331" s="54"/>
      <c r="CX331" s="86"/>
      <c r="DM331" s="342"/>
      <c r="DO331" s="63"/>
      <c r="DP331" s="86"/>
      <c r="ED331" s="54"/>
      <c r="EF331" s="63"/>
      <c r="EG331" s="86"/>
      <c r="EP331" s="63"/>
      <c r="EQ331" s="54"/>
      <c r="ER331" s="86"/>
      <c r="FF331" s="54"/>
      <c r="FG331" s="86"/>
      <c r="FO331" s="45"/>
      <c r="FT331" s="86"/>
      <c r="FW331" s="63"/>
      <c r="FX331" s="54"/>
      <c r="GB331" s="86"/>
      <c r="GK331" s="45"/>
      <c r="GL331" s="54"/>
      <c r="GS331" s="86"/>
      <c r="HC331" s="63"/>
      <c r="HJ331" s="86"/>
      <c r="HT331" s="63"/>
      <c r="HZ331" s="54"/>
      <c r="IA331" s="86"/>
      <c r="IJ331" s="54"/>
      <c r="IK331" s="86"/>
    </row>
    <row r="332" spans="1:245">
      <c r="A332" s="86">
        <v>302</v>
      </c>
      <c r="B332" s="117"/>
      <c r="C332" s="117"/>
      <c r="D332" s="117"/>
      <c r="E332" s="117"/>
      <c r="K332" s="117"/>
      <c r="L332" s="117"/>
      <c r="M332" s="117"/>
      <c r="N332" s="117"/>
      <c r="O332" s="117"/>
      <c r="P332" s="117"/>
      <c r="Q332" s="117"/>
      <c r="R332" s="63"/>
      <c r="S332" s="117"/>
      <c r="T332" s="117"/>
      <c r="U332" s="117"/>
      <c r="V332" s="117"/>
      <c r="W332" s="117"/>
      <c r="X332" s="117"/>
      <c r="Y332" s="117"/>
      <c r="Z332" s="117"/>
      <c r="AA332" s="117"/>
      <c r="AB332" s="117"/>
      <c r="AC332" s="117"/>
      <c r="AD332" s="117"/>
      <c r="AE332" s="117"/>
      <c r="AF332" s="74"/>
      <c r="AG332" s="117"/>
      <c r="AH332" s="117"/>
      <c r="AI332" s="117"/>
      <c r="AJ332" s="117"/>
      <c r="AK332" s="117"/>
      <c r="AL332" s="117"/>
      <c r="AM332" s="117"/>
      <c r="AN332" s="117"/>
      <c r="AO332" s="117"/>
      <c r="AP332" s="117"/>
      <c r="AQ332" s="117"/>
      <c r="AR332" s="117"/>
      <c r="AS332" s="145"/>
      <c r="AU332" s="117"/>
      <c r="AV332" s="45"/>
      <c r="AY332" s="162"/>
      <c r="BF332" s="45"/>
      <c r="BG332" s="246"/>
      <c r="BI332" s="138"/>
      <c r="BJ332" s="54"/>
      <c r="BK332" s="74"/>
      <c r="BL332" s="117"/>
      <c r="BM332" s="117"/>
      <c r="BN332" s="117"/>
      <c r="BO332" s="117"/>
      <c r="BP332" s="117"/>
      <c r="BQ332" s="117"/>
      <c r="BR332" s="117"/>
      <c r="BS332" s="117"/>
      <c r="BT332" s="117"/>
      <c r="BU332" s="117"/>
      <c r="BV332" s="117"/>
      <c r="BW332" s="117"/>
      <c r="BX332" s="117"/>
      <c r="BY332" s="117"/>
      <c r="CA332" s="102"/>
      <c r="CC332" s="86"/>
      <c r="CE332" s="102"/>
      <c r="CJ332" s="86"/>
      <c r="CP332" s="63"/>
      <c r="CQ332" s="54"/>
      <c r="CX332" s="86"/>
      <c r="DM332" s="342"/>
      <c r="DO332" s="63"/>
      <c r="DP332" s="86"/>
      <c r="ED332" s="54"/>
      <c r="EF332" s="63"/>
      <c r="EG332" s="86"/>
      <c r="EP332" s="63"/>
      <c r="EQ332" s="54"/>
      <c r="ER332" s="86"/>
      <c r="FF332" s="54"/>
      <c r="FG332" s="86"/>
      <c r="FO332" s="45"/>
      <c r="FT332" s="86"/>
      <c r="FW332" s="63"/>
      <c r="FX332" s="54"/>
      <c r="GB332" s="86"/>
      <c r="GK332" s="45"/>
      <c r="GL332" s="54"/>
      <c r="GS332" s="86"/>
      <c r="HC332" s="63"/>
      <c r="HJ332" s="86"/>
      <c r="HT332" s="63"/>
      <c r="HZ332" s="54"/>
      <c r="IA332" s="86"/>
      <c r="IJ332" s="54"/>
      <c r="IK332" s="86"/>
    </row>
    <row r="333" spans="1:245">
      <c r="A333" s="86">
        <v>303</v>
      </c>
      <c r="B333" s="117"/>
      <c r="C333" s="117"/>
      <c r="D333" s="117"/>
      <c r="E333" s="117"/>
      <c r="K333" s="117"/>
      <c r="L333" s="117"/>
      <c r="M333" s="117"/>
      <c r="N333" s="117"/>
      <c r="O333" s="117"/>
      <c r="P333" s="117"/>
      <c r="Q333" s="117"/>
      <c r="R333" s="63"/>
      <c r="S333" s="117"/>
      <c r="T333" s="117"/>
      <c r="U333" s="117"/>
      <c r="V333" s="117"/>
      <c r="W333" s="117"/>
      <c r="X333" s="117"/>
      <c r="Y333" s="117"/>
      <c r="Z333" s="117"/>
      <c r="AA333" s="117"/>
      <c r="AB333" s="117"/>
      <c r="AC333" s="117"/>
      <c r="AD333" s="117"/>
      <c r="AE333" s="117"/>
      <c r="AF333" s="74"/>
      <c r="AG333" s="117"/>
      <c r="AH333" s="117"/>
      <c r="AI333" s="117"/>
      <c r="AJ333" s="117"/>
      <c r="AK333" s="117"/>
      <c r="AL333" s="117"/>
      <c r="AM333" s="117"/>
      <c r="AN333" s="117"/>
      <c r="AO333" s="117"/>
      <c r="AP333" s="117"/>
      <c r="AQ333" s="117"/>
      <c r="AR333" s="117"/>
      <c r="AS333" s="145"/>
      <c r="AU333" s="117"/>
      <c r="AV333" s="45"/>
      <c r="AY333" s="162"/>
      <c r="BF333" s="45"/>
      <c r="BG333" s="246"/>
      <c r="BI333" s="138"/>
      <c r="BJ333" s="54"/>
      <c r="BK333" s="74"/>
      <c r="BL333" s="117"/>
      <c r="BM333" s="117"/>
      <c r="BN333" s="117"/>
      <c r="BO333" s="117"/>
      <c r="BP333" s="117"/>
      <c r="BQ333" s="117"/>
      <c r="BR333" s="117"/>
      <c r="BS333" s="117"/>
      <c r="BT333" s="117"/>
      <c r="BU333" s="117"/>
      <c r="BV333" s="117"/>
      <c r="BW333" s="117"/>
      <c r="BX333" s="117"/>
      <c r="BY333" s="117"/>
      <c r="CA333" s="102"/>
      <c r="CC333" s="86"/>
      <c r="CE333" s="102"/>
      <c r="CJ333" s="86"/>
      <c r="CP333" s="63"/>
      <c r="CQ333" s="54"/>
      <c r="CX333" s="86"/>
      <c r="DM333" s="342"/>
      <c r="DO333" s="63"/>
      <c r="DP333" s="86"/>
      <c r="ED333" s="54"/>
      <c r="EF333" s="63"/>
      <c r="EG333" s="86"/>
      <c r="EP333" s="63"/>
      <c r="EQ333" s="54"/>
      <c r="ER333" s="86"/>
      <c r="FF333" s="54"/>
      <c r="FG333" s="86"/>
      <c r="FO333" s="45"/>
      <c r="FT333" s="86"/>
      <c r="FW333" s="63"/>
      <c r="FX333" s="54"/>
      <c r="GB333" s="86"/>
      <c r="GK333" s="45"/>
      <c r="GL333" s="54"/>
      <c r="GS333" s="86"/>
      <c r="HC333" s="63"/>
      <c r="HJ333" s="86"/>
      <c r="HT333" s="63"/>
      <c r="HZ333" s="54"/>
      <c r="IA333" s="86"/>
      <c r="IJ333" s="54"/>
      <c r="IK333" s="86"/>
    </row>
    <row r="334" spans="1:245">
      <c r="A334" s="86">
        <v>304</v>
      </c>
      <c r="B334" s="117"/>
      <c r="C334" s="117"/>
      <c r="D334" s="117"/>
      <c r="E334" s="117"/>
      <c r="K334" s="117"/>
      <c r="L334" s="117"/>
      <c r="M334" s="117"/>
      <c r="N334" s="117"/>
      <c r="O334" s="117"/>
      <c r="P334" s="117"/>
      <c r="Q334" s="117"/>
      <c r="R334" s="63"/>
      <c r="S334" s="117"/>
      <c r="T334" s="117"/>
      <c r="U334" s="117"/>
      <c r="V334" s="117"/>
      <c r="W334" s="117"/>
      <c r="X334" s="117"/>
      <c r="Y334" s="117"/>
      <c r="Z334" s="117"/>
      <c r="AA334" s="117"/>
      <c r="AB334" s="117"/>
      <c r="AC334" s="117"/>
      <c r="AD334" s="117"/>
      <c r="AE334" s="117"/>
      <c r="AF334" s="74"/>
      <c r="AG334" s="117"/>
      <c r="AH334" s="117"/>
      <c r="AI334" s="117"/>
      <c r="AJ334" s="117"/>
      <c r="AK334" s="117"/>
      <c r="AL334" s="117"/>
      <c r="AM334" s="117"/>
      <c r="AN334" s="117"/>
      <c r="AO334" s="117"/>
      <c r="AP334" s="117"/>
      <c r="AQ334" s="117"/>
      <c r="AR334" s="117"/>
      <c r="AS334" s="145"/>
      <c r="AU334" s="117"/>
      <c r="AV334" s="45"/>
      <c r="AY334" s="162"/>
      <c r="BF334" s="45"/>
      <c r="BG334" s="246"/>
      <c r="BI334" s="138"/>
      <c r="BJ334" s="54"/>
      <c r="BK334" s="74"/>
      <c r="BL334" s="117"/>
      <c r="BM334" s="117"/>
      <c r="BN334" s="117"/>
      <c r="BO334" s="117"/>
      <c r="BP334" s="117"/>
      <c r="BQ334" s="117"/>
      <c r="BR334" s="117"/>
      <c r="BS334" s="117"/>
      <c r="BT334" s="117"/>
      <c r="BU334" s="117"/>
      <c r="BV334" s="117"/>
      <c r="BW334" s="117"/>
      <c r="BX334" s="117"/>
      <c r="BY334" s="117"/>
      <c r="CA334" s="102"/>
      <c r="CC334" s="86"/>
      <c r="CE334" s="102"/>
      <c r="CJ334" s="86"/>
      <c r="CP334" s="63"/>
      <c r="CQ334" s="54"/>
      <c r="CX334" s="86"/>
      <c r="DM334" s="342"/>
      <c r="DO334" s="63"/>
      <c r="DP334" s="86"/>
      <c r="ED334" s="54"/>
      <c r="EF334" s="63"/>
      <c r="EG334" s="86"/>
      <c r="EP334" s="63"/>
      <c r="EQ334" s="54"/>
      <c r="ER334" s="86"/>
      <c r="FF334" s="54"/>
      <c r="FG334" s="86"/>
      <c r="FO334" s="45"/>
      <c r="FT334" s="86"/>
      <c r="FW334" s="63"/>
      <c r="FX334" s="54"/>
      <c r="GB334" s="86"/>
      <c r="GK334" s="45"/>
      <c r="GL334" s="54"/>
      <c r="GS334" s="86"/>
      <c r="HC334" s="63"/>
      <c r="HJ334" s="86"/>
      <c r="HT334" s="63"/>
      <c r="HZ334" s="54"/>
      <c r="IA334" s="86"/>
      <c r="IJ334" s="54"/>
      <c r="IK334" s="86"/>
    </row>
    <row r="335" spans="1:245">
      <c r="A335" s="86">
        <v>305</v>
      </c>
      <c r="B335" s="117"/>
      <c r="C335" s="117"/>
      <c r="D335" s="117"/>
      <c r="E335" s="117"/>
      <c r="K335" s="117"/>
      <c r="L335" s="117"/>
      <c r="M335" s="117"/>
      <c r="N335" s="117"/>
      <c r="O335" s="117"/>
      <c r="P335" s="117"/>
      <c r="Q335" s="117"/>
      <c r="R335" s="63"/>
      <c r="S335" s="117"/>
      <c r="T335" s="117"/>
      <c r="U335" s="117"/>
      <c r="V335" s="117"/>
      <c r="W335" s="117"/>
      <c r="X335" s="117"/>
      <c r="Y335" s="117"/>
      <c r="Z335" s="117"/>
      <c r="AA335" s="117"/>
      <c r="AB335" s="117"/>
      <c r="AC335" s="117"/>
      <c r="AD335" s="117"/>
      <c r="AE335" s="117"/>
      <c r="AF335" s="74"/>
      <c r="AG335" s="117"/>
      <c r="AH335" s="117"/>
      <c r="AI335" s="117"/>
      <c r="AJ335" s="117"/>
      <c r="AK335" s="117"/>
      <c r="AL335" s="117"/>
      <c r="AM335" s="117"/>
      <c r="AN335" s="117"/>
      <c r="AO335" s="117"/>
      <c r="AP335" s="117"/>
      <c r="AQ335" s="117"/>
      <c r="AR335" s="117"/>
      <c r="AS335" s="145"/>
      <c r="AU335" s="117"/>
      <c r="AV335" s="45"/>
      <c r="AY335" s="162"/>
      <c r="BF335" s="45"/>
      <c r="BG335" s="246"/>
      <c r="BI335" s="138"/>
      <c r="BJ335" s="54"/>
      <c r="BK335" s="74"/>
      <c r="BL335" s="117"/>
      <c r="BM335" s="117"/>
      <c r="BN335" s="117"/>
      <c r="BO335" s="117"/>
      <c r="BP335" s="117"/>
      <c r="BQ335" s="117"/>
      <c r="BR335" s="117"/>
      <c r="BS335" s="117"/>
      <c r="BT335" s="117"/>
      <c r="BU335" s="117"/>
      <c r="BV335" s="117"/>
      <c r="BW335" s="117"/>
      <c r="BX335" s="117"/>
      <c r="BY335" s="117"/>
      <c r="CA335" s="102"/>
      <c r="CC335" s="86"/>
      <c r="CE335" s="102"/>
      <c r="CJ335" s="86"/>
      <c r="CP335" s="63"/>
      <c r="CQ335" s="54"/>
      <c r="CX335" s="86"/>
      <c r="DM335" s="342"/>
      <c r="DO335" s="63"/>
      <c r="DP335" s="86"/>
      <c r="ED335" s="54"/>
      <c r="EF335" s="63"/>
      <c r="EG335" s="86"/>
      <c r="EP335" s="63"/>
      <c r="EQ335" s="54"/>
      <c r="ER335" s="86"/>
      <c r="FF335" s="54"/>
      <c r="FG335" s="86"/>
      <c r="FO335" s="45"/>
      <c r="FT335" s="86"/>
      <c r="FW335" s="63"/>
      <c r="FX335" s="54"/>
      <c r="GB335" s="86"/>
      <c r="GK335" s="45"/>
      <c r="GL335" s="54"/>
      <c r="GS335" s="86"/>
      <c r="HC335" s="63"/>
      <c r="HJ335" s="86"/>
      <c r="HT335" s="63"/>
      <c r="HZ335" s="54"/>
      <c r="IA335" s="86"/>
      <c r="IJ335" s="54"/>
      <c r="IK335" s="86"/>
    </row>
    <row r="336" spans="1:245">
      <c r="A336" s="86">
        <v>306</v>
      </c>
      <c r="B336" s="117"/>
      <c r="C336" s="117"/>
      <c r="D336" s="117"/>
      <c r="E336" s="117"/>
      <c r="K336" s="117"/>
      <c r="L336" s="117"/>
      <c r="M336" s="117"/>
      <c r="N336" s="117"/>
      <c r="O336" s="117"/>
      <c r="P336" s="117"/>
      <c r="Q336" s="117"/>
      <c r="R336" s="63"/>
      <c r="S336" s="117"/>
      <c r="T336" s="117"/>
      <c r="U336" s="117"/>
      <c r="V336" s="117"/>
      <c r="W336" s="117"/>
      <c r="X336" s="117"/>
      <c r="Y336" s="117"/>
      <c r="Z336" s="117"/>
      <c r="AA336" s="117"/>
      <c r="AB336" s="117"/>
      <c r="AC336" s="117"/>
      <c r="AD336" s="117"/>
      <c r="AE336" s="117"/>
      <c r="AF336" s="74"/>
      <c r="AG336" s="117"/>
      <c r="AH336" s="117"/>
      <c r="AI336" s="117"/>
      <c r="AJ336" s="117"/>
      <c r="AK336" s="117"/>
      <c r="AL336" s="117"/>
      <c r="AM336" s="117"/>
      <c r="AN336" s="117"/>
      <c r="AO336" s="117"/>
      <c r="AP336" s="117"/>
      <c r="AQ336" s="117"/>
      <c r="AR336" s="117"/>
      <c r="AS336" s="145"/>
      <c r="AU336" s="117"/>
      <c r="AV336" s="45"/>
      <c r="AY336" s="162"/>
      <c r="BF336" s="45"/>
      <c r="BG336" s="246"/>
      <c r="BI336" s="138"/>
      <c r="BJ336" s="54"/>
      <c r="BK336" s="74"/>
      <c r="BL336" s="117"/>
      <c r="BM336" s="117"/>
      <c r="BN336" s="117"/>
      <c r="BO336" s="117"/>
      <c r="BP336" s="117"/>
      <c r="BQ336" s="117"/>
      <c r="BR336" s="117"/>
      <c r="BS336" s="117"/>
      <c r="BT336" s="117"/>
      <c r="BU336" s="117"/>
      <c r="BV336" s="117"/>
      <c r="BW336" s="117"/>
      <c r="BX336" s="117"/>
      <c r="BY336" s="117"/>
      <c r="CA336" s="102"/>
      <c r="CC336" s="86"/>
      <c r="CE336" s="102"/>
      <c r="CJ336" s="86"/>
      <c r="CP336" s="63"/>
      <c r="CQ336" s="54"/>
      <c r="CX336" s="86"/>
      <c r="DM336" s="342"/>
      <c r="DO336" s="63"/>
      <c r="DP336" s="86"/>
      <c r="ED336" s="54"/>
      <c r="EF336" s="63"/>
      <c r="EG336" s="86"/>
      <c r="EP336" s="63"/>
      <c r="EQ336" s="54"/>
      <c r="ER336" s="86"/>
      <c r="FF336" s="54"/>
      <c r="FG336" s="86"/>
      <c r="FO336" s="45"/>
      <c r="FT336" s="86"/>
      <c r="FW336" s="63"/>
      <c r="FX336" s="54"/>
      <c r="GB336" s="86"/>
      <c r="GK336" s="45"/>
      <c r="GL336" s="54"/>
      <c r="GS336" s="86"/>
      <c r="HC336" s="63"/>
      <c r="HJ336" s="86"/>
      <c r="HT336" s="63"/>
      <c r="HZ336" s="54"/>
      <c r="IA336" s="86"/>
      <c r="IJ336" s="54"/>
      <c r="IK336" s="86"/>
    </row>
    <row r="337" spans="1:245">
      <c r="A337" s="86">
        <v>307</v>
      </c>
      <c r="B337" s="117"/>
      <c r="C337" s="117"/>
      <c r="D337" s="117"/>
      <c r="E337" s="117"/>
      <c r="K337" s="117"/>
      <c r="L337" s="117"/>
      <c r="M337" s="117"/>
      <c r="N337" s="117"/>
      <c r="O337" s="117"/>
      <c r="P337" s="117"/>
      <c r="Q337" s="117"/>
      <c r="R337" s="63"/>
      <c r="S337" s="117"/>
      <c r="T337" s="117"/>
      <c r="U337" s="117"/>
      <c r="V337" s="117"/>
      <c r="W337" s="117"/>
      <c r="X337" s="117"/>
      <c r="Y337" s="117"/>
      <c r="Z337" s="117"/>
      <c r="AA337" s="117"/>
      <c r="AB337" s="117"/>
      <c r="AC337" s="117"/>
      <c r="AD337" s="117"/>
      <c r="AE337" s="117"/>
      <c r="AF337" s="74"/>
      <c r="AG337" s="117"/>
      <c r="AH337" s="117"/>
      <c r="AI337" s="117"/>
      <c r="AJ337" s="117"/>
      <c r="AK337" s="117"/>
      <c r="AL337" s="117"/>
      <c r="AM337" s="117"/>
      <c r="AN337" s="117"/>
      <c r="AO337" s="117"/>
      <c r="AP337" s="117"/>
      <c r="AQ337" s="117"/>
      <c r="AR337" s="117"/>
      <c r="AS337" s="145"/>
      <c r="AU337" s="117"/>
      <c r="AV337" s="45"/>
      <c r="AY337" s="162"/>
      <c r="BF337" s="45"/>
      <c r="BG337" s="246"/>
      <c r="BI337" s="138"/>
      <c r="BJ337" s="54"/>
      <c r="BK337" s="74"/>
      <c r="BL337" s="117"/>
      <c r="BM337" s="117"/>
      <c r="BN337" s="117"/>
      <c r="BO337" s="117"/>
      <c r="BP337" s="117"/>
      <c r="BQ337" s="117"/>
      <c r="BR337" s="117"/>
      <c r="BS337" s="117"/>
      <c r="BT337" s="117"/>
      <c r="BU337" s="117"/>
      <c r="BV337" s="117"/>
      <c r="BW337" s="117"/>
      <c r="BX337" s="117"/>
      <c r="BY337" s="117"/>
      <c r="CA337" s="102"/>
      <c r="CC337" s="86"/>
      <c r="CE337" s="102"/>
      <c r="CJ337" s="86"/>
      <c r="CP337" s="63"/>
      <c r="CQ337" s="54"/>
      <c r="CX337" s="86"/>
      <c r="DM337" s="342"/>
      <c r="DO337" s="63"/>
      <c r="DP337" s="86"/>
      <c r="ED337" s="54"/>
      <c r="EF337" s="63"/>
      <c r="EG337" s="86"/>
      <c r="EP337" s="63"/>
      <c r="EQ337" s="54"/>
      <c r="ER337" s="86"/>
      <c r="FF337" s="54"/>
      <c r="FG337" s="86"/>
      <c r="FO337" s="45"/>
      <c r="FT337" s="86"/>
      <c r="FW337" s="63"/>
      <c r="FX337" s="54"/>
      <c r="GB337" s="86"/>
      <c r="GK337" s="45"/>
      <c r="GL337" s="54"/>
      <c r="GS337" s="86"/>
      <c r="HC337" s="63"/>
      <c r="HJ337" s="86"/>
      <c r="HT337" s="63"/>
      <c r="HZ337" s="54"/>
      <c r="IA337" s="86"/>
      <c r="IJ337" s="54"/>
      <c r="IK337" s="86"/>
    </row>
    <row r="338" spans="1:245">
      <c r="A338" s="86">
        <v>308</v>
      </c>
      <c r="B338" s="117"/>
      <c r="C338" s="117"/>
      <c r="D338" s="117"/>
      <c r="E338" s="117"/>
      <c r="K338" s="117"/>
      <c r="L338" s="117"/>
      <c r="M338" s="117"/>
      <c r="N338" s="117"/>
      <c r="O338" s="117"/>
      <c r="P338" s="117"/>
      <c r="Q338" s="117"/>
      <c r="R338" s="63"/>
      <c r="S338" s="117"/>
      <c r="T338" s="117"/>
      <c r="U338" s="117"/>
      <c r="V338" s="117"/>
      <c r="W338" s="117"/>
      <c r="X338" s="117"/>
      <c r="Y338" s="117"/>
      <c r="Z338" s="117"/>
      <c r="AA338" s="117"/>
      <c r="AB338" s="117"/>
      <c r="AC338" s="117"/>
      <c r="AD338" s="117"/>
      <c r="AE338" s="117"/>
      <c r="AF338" s="74"/>
      <c r="AG338" s="117"/>
      <c r="AH338" s="117"/>
      <c r="AI338" s="117"/>
      <c r="AJ338" s="117"/>
      <c r="AK338" s="117"/>
      <c r="AL338" s="117"/>
      <c r="AM338" s="117"/>
      <c r="AN338" s="117"/>
      <c r="AO338" s="117"/>
      <c r="AP338" s="117"/>
      <c r="AQ338" s="117"/>
      <c r="AR338" s="117"/>
      <c r="AS338" s="145"/>
      <c r="AU338" s="117"/>
      <c r="AV338" s="45"/>
      <c r="AY338" s="162"/>
      <c r="BF338" s="45"/>
      <c r="BG338" s="246"/>
      <c r="BI338" s="138"/>
      <c r="BJ338" s="54"/>
      <c r="BK338" s="74"/>
      <c r="BL338" s="117"/>
      <c r="BM338" s="117"/>
      <c r="BN338" s="117"/>
      <c r="BO338" s="117"/>
      <c r="BP338" s="117"/>
      <c r="BQ338" s="117"/>
      <c r="BR338" s="117"/>
      <c r="BS338" s="117"/>
      <c r="BT338" s="117"/>
      <c r="BU338" s="117"/>
      <c r="BV338" s="117"/>
      <c r="BW338" s="117"/>
      <c r="BX338" s="117"/>
      <c r="BY338" s="117"/>
      <c r="CA338" s="102"/>
      <c r="CC338" s="86"/>
      <c r="CE338" s="102"/>
      <c r="CJ338" s="86"/>
      <c r="CP338" s="63"/>
      <c r="CQ338" s="54"/>
      <c r="CX338" s="86"/>
      <c r="DM338" s="342"/>
      <c r="DO338" s="63"/>
      <c r="DP338" s="86"/>
      <c r="ED338" s="54"/>
      <c r="EF338" s="63"/>
      <c r="EG338" s="86"/>
      <c r="EP338" s="63"/>
      <c r="EQ338" s="54"/>
      <c r="ER338" s="86"/>
      <c r="FF338" s="54"/>
      <c r="FG338" s="86"/>
      <c r="FO338" s="45"/>
      <c r="FT338" s="86"/>
      <c r="FW338" s="63"/>
      <c r="FX338" s="54"/>
      <c r="GB338" s="86"/>
      <c r="GK338" s="45"/>
      <c r="GL338" s="54"/>
      <c r="GS338" s="86"/>
      <c r="HC338" s="63"/>
      <c r="HJ338" s="86"/>
      <c r="HT338" s="63"/>
      <c r="HZ338" s="54"/>
      <c r="IA338" s="86"/>
      <c r="IJ338" s="54"/>
      <c r="IK338" s="86"/>
    </row>
    <row r="339" spans="1:245">
      <c r="A339" s="86">
        <v>309</v>
      </c>
      <c r="B339" s="117"/>
      <c r="C339" s="117"/>
      <c r="D339" s="117"/>
      <c r="E339" s="117"/>
      <c r="K339" s="117"/>
      <c r="L339" s="117"/>
      <c r="M339" s="117"/>
      <c r="N339" s="117"/>
      <c r="O339" s="117"/>
      <c r="P339" s="117"/>
      <c r="Q339" s="117"/>
      <c r="R339" s="63"/>
      <c r="S339" s="117"/>
      <c r="T339" s="117"/>
      <c r="U339" s="117"/>
      <c r="V339" s="117"/>
      <c r="W339" s="117"/>
      <c r="X339" s="117"/>
      <c r="Y339" s="117"/>
      <c r="Z339" s="117"/>
      <c r="AA339" s="117"/>
      <c r="AB339" s="117"/>
      <c r="AC339" s="117"/>
      <c r="AD339" s="117"/>
      <c r="AE339" s="117"/>
      <c r="AF339" s="74"/>
      <c r="AG339" s="117"/>
      <c r="AH339" s="117"/>
      <c r="AI339" s="117"/>
      <c r="AJ339" s="117"/>
      <c r="AK339" s="117"/>
      <c r="AL339" s="117"/>
      <c r="AM339" s="117"/>
      <c r="AN339" s="117"/>
      <c r="AO339" s="117"/>
      <c r="AP339" s="117"/>
      <c r="AQ339" s="117"/>
      <c r="AR339" s="117"/>
      <c r="AS339" s="145"/>
      <c r="AU339" s="117"/>
      <c r="AV339" s="45"/>
      <c r="AY339" s="162"/>
      <c r="BF339" s="45"/>
      <c r="BG339" s="246"/>
      <c r="BI339" s="138"/>
      <c r="BJ339" s="54"/>
      <c r="BK339" s="74"/>
      <c r="BL339" s="117"/>
      <c r="BM339" s="117"/>
      <c r="BN339" s="117"/>
      <c r="BO339" s="117"/>
      <c r="BP339" s="117"/>
      <c r="BQ339" s="117"/>
      <c r="BR339" s="117"/>
      <c r="BS339" s="117"/>
      <c r="BT339" s="117"/>
      <c r="BU339" s="117"/>
      <c r="BV339" s="117"/>
      <c r="BW339" s="117"/>
      <c r="BX339" s="117"/>
      <c r="BY339" s="117"/>
      <c r="CA339" s="102"/>
      <c r="CC339" s="86"/>
      <c r="CE339" s="102"/>
      <c r="CJ339" s="86"/>
      <c r="CP339" s="63"/>
      <c r="CQ339" s="54"/>
      <c r="CX339" s="86"/>
      <c r="DM339" s="342"/>
      <c r="DO339" s="63"/>
      <c r="DP339" s="86"/>
      <c r="ED339" s="54"/>
      <c r="EF339" s="63"/>
      <c r="EG339" s="86"/>
      <c r="EP339" s="63"/>
      <c r="EQ339" s="54"/>
      <c r="ER339" s="86"/>
      <c r="FF339" s="54"/>
      <c r="FG339" s="86"/>
      <c r="FO339" s="45"/>
      <c r="FT339" s="86"/>
      <c r="FW339" s="63"/>
      <c r="FX339" s="54"/>
      <c r="GB339" s="86"/>
      <c r="GK339" s="45"/>
      <c r="GL339" s="54"/>
      <c r="GS339" s="86"/>
      <c r="HC339" s="63"/>
      <c r="HJ339" s="86"/>
      <c r="HT339" s="63"/>
      <c r="HZ339" s="54"/>
      <c r="IA339" s="86"/>
      <c r="IJ339" s="54"/>
      <c r="IK339" s="86"/>
    </row>
    <row r="340" spans="1:245">
      <c r="A340" s="86">
        <v>310</v>
      </c>
      <c r="B340" s="117"/>
      <c r="C340" s="117"/>
      <c r="D340" s="117"/>
      <c r="E340" s="117"/>
      <c r="K340" s="117"/>
      <c r="L340" s="117"/>
      <c r="M340" s="117"/>
      <c r="N340" s="117"/>
      <c r="O340" s="117"/>
      <c r="P340" s="117"/>
      <c r="Q340" s="117"/>
      <c r="R340" s="63"/>
      <c r="S340" s="117"/>
      <c r="T340" s="117"/>
      <c r="U340" s="117"/>
      <c r="V340" s="117"/>
      <c r="W340" s="117"/>
      <c r="X340" s="117"/>
      <c r="Y340" s="117"/>
      <c r="Z340" s="117"/>
      <c r="AA340" s="117"/>
      <c r="AB340" s="117"/>
      <c r="AC340" s="117"/>
      <c r="AD340" s="117"/>
      <c r="AE340" s="117"/>
      <c r="AF340" s="74"/>
      <c r="AG340" s="117"/>
      <c r="AH340" s="117"/>
      <c r="AI340" s="117"/>
      <c r="AJ340" s="117"/>
      <c r="AK340" s="117"/>
      <c r="AL340" s="117"/>
      <c r="AM340" s="117"/>
      <c r="AN340" s="117"/>
      <c r="AO340" s="117"/>
      <c r="AP340" s="117"/>
      <c r="AQ340" s="117"/>
      <c r="AR340" s="117"/>
      <c r="AS340" s="145"/>
      <c r="AU340" s="117"/>
      <c r="AV340" s="45"/>
      <c r="AY340" s="162"/>
      <c r="BF340" s="45"/>
      <c r="BG340" s="246"/>
      <c r="BI340" s="138"/>
      <c r="BJ340" s="54"/>
      <c r="BK340" s="74"/>
      <c r="BL340" s="117"/>
      <c r="BM340" s="117"/>
      <c r="BN340" s="117"/>
      <c r="BO340" s="117"/>
      <c r="BP340" s="117"/>
      <c r="BQ340" s="117"/>
      <c r="BR340" s="117"/>
      <c r="BS340" s="117"/>
      <c r="BT340" s="117"/>
      <c r="BU340" s="117"/>
      <c r="BV340" s="117"/>
      <c r="BW340" s="117"/>
      <c r="BX340" s="117"/>
      <c r="BY340" s="117"/>
      <c r="CA340" s="102"/>
      <c r="CC340" s="86"/>
      <c r="CE340" s="102"/>
      <c r="CJ340" s="86"/>
      <c r="CP340" s="63"/>
      <c r="CQ340" s="54"/>
      <c r="CX340" s="86"/>
      <c r="DM340" s="342"/>
      <c r="DO340" s="63"/>
      <c r="DP340" s="86"/>
      <c r="ED340" s="54"/>
      <c r="EF340" s="63"/>
      <c r="EG340" s="86"/>
      <c r="EP340" s="63"/>
      <c r="EQ340" s="54"/>
      <c r="ER340" s="86"/>
      <c r="FF340" s="54"/>
      <c r="FG340" s="86"/>
      <c r="FO340" s="45"/>
      <c r="FT340" s="86"/>
      <c r="FW340" s="63"/>
      <c r="FX340" s="54"/>
      <c r="GB340" s="86"/>
      <c r="GK340" s="45"/>
      <c r="GL340" s="54"/>
      <c r="GS340" s="86"/>
      <c r="HC340" s="63"/>
      <c r="HJ340" s="86"/>
      <c r="HT340" s="63"/>
      <c r="HZ340" s="54"/>
      <c r="IA340" s="86"/>
      <c r="IJ340" s="54"/>
      <c r="IK340" s="86"/>
    </row>
    <row r="341" spans="1:245">
      <c r="A341" s="86">
        <v>311</v>
      </c>
      <c r="B341" s="117"/>
      <c r="C341" s="117"/>
      <c r="D341" s="117"/>
      <c r="E341" s="117"/>
      <c r="K341" s="117"/>
      <c r="L341" s="117"/>
      <c r="M341" s="117"/>
      <c r="N341" s="117"/>
      <c r="O341" s="117"/>
      <c r="P341" s="117"/>
      <c r="Q341" s="117"/>
      <c r="R341" s="63"/>
      <c r="S341" s="117"/>
      <c r="T341" s="117"/>
      <c r="U341" s="117"/>
      <c r="V341" s="117"/>
      <c r="W341" s="117"/>
      <c r="X341" s="117"/>
      <c r="Y341" s="117"/>
      <c r="Z341" s="117"/>
      <c r="AA341" s="117"/>
      <c r="AB341" s="117"/>
      <c r="AC341" s="117"/>
      <c r="AD341" s="117"/>
      <c r="AE341" s="117"/>
      <c r="AF341" s="74"/>
      <c r="AG341" s="117"/>
      <c r="AH341" s="117"/>
      <c r="AI341" s="117"/>
      <c r="AJ341" s="117"/>
      <c r="AK341" s="117"/>
      <c r="AL341" s="117"/>
      <c r="AM341" s="117"/>
      <c r="AN341" s="117"/>
      <c r="AO341" s="117"/>
      <c r="AP341" s="117"/>
      <c r="AQ341" s="117"/>
      <c r="AR341" s="117"/>
      <c r="AS341" s="145"/>
      <c r="AU341" s="117"/>
      <c r="AV341" s="45"/>
      <c r="AY341" s="162"/>
      <c r="BF341" s="45"/>
      <c r="BG341" s="246"/>
      <c r="BI341" s="138"/>
      <c r="BJ341" s="54"/>
      <c r="BK341" s="74"/>
      <c r="BL341" s="117"/>
      <c r="BM341" s="117"/>
      <c r="BN341" s="117"/>
      <c r="BO341" s="117"/>
      <c r="BP341" s="117"/>
      <c r="BQ341" s="117"/>
      <c r="BR341" s="117"/>
      <c r="BS341" s="117"/>
      <c r="BT341" s="117"/>
      <c r="BU341" s="117"/>
      <c r="BV341" s="117"/>
      <c r="BW341" s="117"/>
      <c r="BX341" s="117"/>
      <c r="BY341" s="117"/>
      <c r="CA341" s="102"/>
      <c r="CC341" s="86"/>
      <c r="CE341" s="102"/>
      <c r="CJ341" s="86"/>
      <c r="CP341" s="63"/>
      <c r="CQ341" s="54"/>
      <c r="CX341" s="86"/>
      <c r="DM341" s="342"/>
      <c r="DO341" s="63"/>
      <c r="DP341" s="86"/>
      <c r="ED341" s="54"/>
      <c r="EF341" s="63"/>
      <c r="EG341" s="86"/>
      <c r="EP341" s="63"/>
      <c r="EQ341" s="54"/>
      <c r="ER341" s="86"/>
      <c r="FF341" s="54"/>
      <c r="FG341" s="86"/>
      <c r="FO341" s="45"/>
      <c r="FT341" s="86"/>
      <c r="FW341" s="63"/>
      <c r="FX341" s="54"/>
      <c r="GB341" s="86"/>
      <c r="GK341" s="45"/>
      <c r="GL341" s="54"/>
      <c r="GS341" s="86"/>
      <c r="HC341" s="63"/>
      <c r="HJ341" s="86"/>
      <c r="HT341" s="63"/>
      <c r="HZ341" s="54"/>
      <c r="IA341" s="86"/>
      <c r="IJ341" s="54"/>
      <c r="IK341" s="86"/>
    </row>
    <row r="342" spans="1:245">
      <c r="A342" s="86">
        <v>312</v>
      </c>
      <c r="B342" s="117"/>
      <c r="C342" s="117"/>
      <c r="D342" s="117"/>
      <c r="E342" s="117"/>
      <c r="K342" s="117"/>
      <c r="L342" s="117"/>
      <c r="M342" s="117"/>
      <c r="N342" s="117"/>
      <c r="O342" s="117"/>
      <c r="P342" s="117"/>
      <c r="Q342" s="117"/>
      <c r="R342" s="63"/>
      <c r="S342" s="117"/>
      <c r="T342" s="117"/>
      <c r="U342" s="117"/>
      <c r="V342" s="117"/>
      <c r="W342" s="117"/>
      <c r="X342" s="117"/>
      <c r="Y342" s="117"/>
      <c r="Z342" s="117"/>
      <c r="AA342" s="117"/>
      <c r="AB342" s="117"/>
      <c r="AC342" s="117"/>
      <c r="AD342" s="117"/>
      <c r="AE342" s="117"/>
      <c r="AF342" s="74"/>
      <c r="AG342" s="117"/>
      <c r="AH342" s="117"/>
      <c r="AI342" s="117"/>
      <c r="AJ342" s="117"/>
      <c r="AK342" s="117"/>
      <c r="AL342" s="117"/>
      <c r="AM342" s="117"/>
      <c r="AN342" s="117"/>
      <c r="AO342" s="117"/>
      <c r="AP342" s="117"/>
      <c r="AQ342" s="117"/>
      <c r="AR342" s="117"/>
      <c r="AS342" s="145"/>
      <c r="AU342" s="117"/>
      <c r="AV342" s="45"/>
      <c r="AY342" s="162"/>
      <c r="BF342" s="45"/>
      <c r="BG342" s="246"/>
      <c r="BI342" s="138"/>
      <c r="BJ342" s="54"/>
      <c r="BK342" s="74"/>
      <c r="BL342" s="117"/>
      <c r="BM342" s="117"/>
      <c r="BN342" s="117"/>
      <c r="BO342" s="117"/>
      <c r="BP342" s="117"/>
      <c r="BQ342" s="117"/>
      <c r="BR342" s="117"/>
      <c r="BS342" s="117"/>
      <c r="BT342" s="117"/>
      <c r="BU342" s="117"/>
      <c r="BV342" s="117"/>
      <c r="BW342" s="117"/>
      <c r="BX342" s="117"/>
      <c r="BY342" s="117"/>
      <c r="CA342" s="102"/>
      <c r="CC342" s="86"/>
      <c r="CE342" s="102"/>
      <c r="CJ342" s="86"/>
      <c r="CP342" s="63"/>
      <c r="CQ342" s="54"/>
      <c r="CX342" s="86"/>
      <c r="DM342" s="342"/>
      <c r="DO342" s="63"/>
      <c r="DP342" s="86"/>
      <c r="ED342" s="54"/>
      <c r="EF342" s="63"/>
      <c r="EG342" s="86"/>
      <c r="EP342" s="63"/>
      <c r="EQ342" s="54"/>
      <c r="ER342" s="86"/>
      <c r="FF342" s="54"/>
      <c r="FG342" s="86"/>
      <c r="FO342" s="45"/>
      <c r="FT342" s="86"/>
      <c r="FW342" s="63"/>
      <c r="FX342" s="54"/>
      <c r="GB342" s="86"/>
      <c r="GK342" s="45"/>
      <c r="GL342" s="54"/>
      <c r="GS342" s="86"/>
      <c r="HC342" s="63"/>
      <c r="HJ342" s="86"/>
      <c r="HT342" s="63"/>
      <c r="HZ342" s="54"/>
      <c r="IA342" s="86"/>
      <c r="IJ342" s="54"/>
      <c r="IK342" s="86"/>
    </row>
    <row r="343" spans="1:245">
      <c r="A343" s="86">
        <v>313</v>
      </c>
      <c r="B343" s="117"/>
      <c r="C343" s="117"/>
      <c r="D343" s="117"/>
      <c r="E343" s="117"/>
      <c r="K343" s="117"/>
      <c r="L343" s="117"/>
      <c r="M343" s="117"/>
      <c r="N343" s="117"/>
      <c r="O343" s="117"/>
      <c r="P343" s="117"/>
      <c r="Q343" s="117"/>
      <c r="R343" s="63"/>
      <c r="S343" s="117"/>
      <c r="T343" s="117"/>
      <c r="U343" s="117"/>
      <c r="V343" s="117"/>
      <c r="W343" s="117"/>
      <c r="X343" s="117"/>
      <c r="Y343" s="117"/>
      <c r="Z343" s="117"/>
      <c r="AA343" s="117"/>
      <c r="AB343" s="117"/>
      <c r="AC343" s="117"/>
      <c r="AD343" s="117"/>
      <c r="AE343" s="117"/>
      <c r="AF343" s="74"/>
      <c r="AG343" s="117"/>
      <c r="AH343" s="117"/>
      <c r="AI343" s="117"/>
      <c r="AJ343" s="117"/>
      <c r="AK343" s="117"/>
      <c r="AL343" s="117"/>
      <c r="AM343" s="117"/>
      <c r="AN343" s="117"/>
      <c r="AO343" s="117"/>
      <c r="AP343" s="117"/>
      <c r="AQ343" s="117"/>
      <c r="AR343" s="117"/>
      <c r="AS343" s="145"/>
      <c r="AU343" s="117"/>
      <c r="AV343" s="45"/>
      <c r="AY343" s="162"/>
      <c r="BF343" s="45"/>
      <c r="BG343" s="246"/>
      <c r="BI343" s="138"/>
      <c r="BJ343" s="54"/>
      <c r="BK343" s="74"/>
      <c r="BL343" s="117"/>
      <c r="BM343" s="117"/>
      <c r="BN343" s="117"/>
      <c r="BO343" s="117"/>
      <c r="BP343" s="117"/>
      <c r="BQ343" s="117"/>
      <c r="BR343" s="117"/>
      <c r="BS343" s="117"/>
      <c r="BT343" s="117"/>
      <c r="BU343" s="117"/>
      <c r="BV343" s="117"/>
      <c r="BW343" s="117"/>
      <c r="BX343" s="117"/>
      <c r="BY343" s="117"/>
      <c r="CA343" s="102"/>
      <c r="CC343" s="86"/>
      <c r="CE343" s="102"/>
      <c r="CJ343" s="86"/>
      <c r="CP343" s="63"/>
      <c r="CQ343" s="54"/>
      <c r="CX343" s="86"/>
      <c r="DM343" s="342"/>
      <c r="DO343" s="63"/>
      <c r="DP343" s="86"/>
      <c r="ED343" s="54"/>
      <c r="EF343" s="63"/>
      <c r="EG343" s="86"/>
      <c r="EP343" s="63"/>
      <c r="EQ343" s="54"/>
      <c r="ER343" s="86"/>
      <c r="FF343" s="54"/>
      <c r="FG343" s="86"/>
      <c r="FO343" s="45"/>
      <c r="FT343" s="86"/>
      <c r="FW343" s="63"/>
      <c r="FX343" s="54"/>
      <c r="GB343" s="86"/>
      <c r="GK343" s="45"/>
      <c r="GL343" s="54"/>
      <c r="GS343" s="86"/>
      <c r="HC343" s="63"/>
      <c r="HJ343" s="86"/>
      <c r="HT343" s="63"/>
      <c r="HZ343" s="54"/>
      <c r="IA343" s="86"/>
      <c r="IJ343" s="54"/>
      <c r="IK343" s="86"/>
    </row>
    <row r="344" spans="1:245">
      <c r="A344" s="86">
        <v>314</v>
      </c>
      <c r="B344" s="117"/>
      <c r="C344" s="117"/>
      <c r="D344" s="117"/>
      <c r="E344" s="117"/>
      <c r="K344" s="117"/>
      <c r="L344" s="117"/>
      <c r="M344" s="117"/>
      <c r="N344" s="117"/>
      <c r="O344" s="117"/>
      <c r="P344" s="117"/>
      <c r="Q344" s="117"/>
      <c r="R344" s="63"/>
      <c r="S344" s="117"/>
      <c r="T344" s="117"/>
      <c r="U344" s="117"/>
      <c r="V344" s="117"/>
      <c r="W344" s="117"/>
      <c r="X344" s="117"/>
      <c r="Y344" s="117"/>
      <c r="Z344" s="117"/>
      <c r="AA344" s="117"/>
      <c r="AB344" s="117"/>
      <c r="AC344" s="117"/>
      <c r="AD344" s="117"/>
      <c r="AE344" s="117"/>
      <c r="AF344" s="74"/>
      <c r="AG344" s="117"/>
      <c r="AH344" s="117"/>
      <c r="AI344" s="117"/>
      <c r="AJ344" s="117"/>
      <c r="AK344" s="117"/>
      <c r="AL344" s="117"/>
      <c r="AM344" s="117"/>
      <c r="AN344" s="117"/>
      <c r="AO344" s="117"/>
      <c r="AP344" s="117"/>
      <c r="AQ344" s="117"/>
      <c r="AR344" s="117"/>
      <c r="AS344" s="145"/>
      <c r="AU344" s="117"/>
      <c r="AV344" s="45"/>
      <c r="AY344" s="162"/>
      <c r="BF344" s="45"/>
      <c r="BG344" s="246"/>
      <c r="BI344" s="138"/>
      <c r="BJ344" s="54"/>
      <c r="BK344" s="74"/>
      <c r="BL344" s="117"/>
      <c r="BM344" s="117"/>
      <c r="BN344" s="117"/>
      <c r="BO344" s="117"/>
      <c r="BP344" s="117"/>
      <c r="BQ344" s="117"/>
      <c r="BR344" s="117"/>
      <c r="BS344" s="117"/>
      <c r="BT344" s="117"/>
      <c r="BU344" s="117"/>
      <c r="BV344" s="117"/>
      <c r="BW344" s="117"/>
      <c r="BX344" s="117"/>
      <c r="BY344" s="117"/>
      <c r="CA344" s="102"/>
      <c r="CC344" s="86"/>
      <c r="CE344" s="102"/>
      <c r="CJ344" s="86"/>
      <c r="CP344" s="63"/>
      <c r="CQ344" s="54"/>
      <c r="CX344" s="86"/>
      <c r="DM344" s="342"/>
      <c r="DO344" s="63"/>
      <c r="DP344" s="86"/>
      <c r="ED344" s="54"/>
      <c r="EF344" s="63"/>
      <c r="EG344" s="86"/>
      <c r="EP344" s="63"/>
      <c r="EQ344" s="54"/>
      <c r="ER344" s="86"/>
      <c r="FF344" s="54"/>
      <c r="FG344" s="86"/>
      <c r="FO344" s="45"/>
      <c r="FT344" s="86"/>
      <c r="FW344" s="63"/>
      <c r="FX344" s="54"/>
      <c r="GB344" s="86"/>
      <c r="GK344" s="45"/>
      <c r="GL344" s="54"/>
      <c r="GS344" s="86"/>
      <c r="HC344" s="63"/>
      <c r="HJ344" s="86"/>
      <c r="HT344" s="63"/>
      <c r="HZ344" s="54"/>
      <c r="IA344" s="86"/>
      <c r="IJ344" s="54"/>
      <c r="IK344" s="86"/>
    </row>
    <row r="345" spans="1:245">
      <c r="A345" s="86">
        <v>315</v>
      </c>
      <c r="B345" s="117"/>
      <c r="C345" s="117"/>
      <c r="D345" s="117"/>
      <c r="E345" s="117"/>
      <c r="K345" s="117"/>
      <c r="L345" s="117"/>
      <c r="M345" s="117"/>
      <c r="N345" s="117"/>
      <c r="O345" s="117"/>
      <c r="P345" s="117"/>
      <c r="Q345" s="117"/>
      <c r="R345" s="63"/>
      <c r="S345" s="117"/>
      <c r="T345" s="117"/>
      <c r="U345" s="117"/>
      <c r="V345" s="117"/>
      <c r="W345" s="117"/>
      <c r="X345" s="117"/>
      <c r="Y345" s="117"/>
      <c r="Z345" s="117"/>
      <c r="AA345" s="117"/>
      <c r="AB345" s="117"/>
      <c r="AC345" s="117"/>
      <c r="AD345" s="117"/>
      <c r="AE345" s="117"/>
      <c r="AF345" s="74"/>
      <c r="AG345" s="117"/>
      <c r="AH345" s="117"/>
      <c r="AI345" s="117"/>
      <c r="AJ345" s="117"/>
      <c r="AK345" s="117"/>
      <c r="AL345" s="117"/>
      <c r="AM345" s="117"/>
      <c r="AN345" s="117"/>
      <c r="AO345" s="117"/>
      <c r="AP345" s="117"/>
      <c r="AQ345" s="117"/>
      <c r="AR345" s="117"/>
      <c r="AS345" s="145"/>
      <c r="AU345" s="117"/>
      <c r="AV345" s="45"/>
      <c r="AY345" s="162"/>
      <c r="BF345" s="45"/>
      <c r="BG345" s="246"/>
      <c r="BI345" s="138"/>
      <c r="BJ345" s="54"/>
      <c r="BK345" s="74"/>
      <c r="BL345" s="117"/>
      <c r="BM345" s="117"/>
      <c r="BN345" s="117"/>
      <c r="BO345" s="117"/>
      <c r="BP345" s="117"/>
      <c r="BQ345" s="117"/>
      <c r="BR345" s="117"/>
      <c r="BS345" s="117"/>
      <c r="BT345" s="117"/>
      <c r="BU345" s="117"/>
      <c r="BV345" s="117"/>
      <c r="BW345" s="117"/>
      <c r="BX345" s="117"/>
      <c r="BY345" s="117"/>
      <c r="CA345" s="102"/>
      <c r="CC345" s="86"/>
      <c r="CE345" s="102"/>
      <c r="CJ345" s="86"/>
      <c r="CP345" s="63"/>
      <c r="CQ345" s="54"/>
      <c r="CX345" s="86"/>
      <c r="DM345" s="342"/>
      <c r="DO345" s="63"/>
      <c r="DP345" s="86"/>
      <c r="ED345" s="54"/>
      <c r="EF345" s="63"/>
      <c r="EG345" s="86"/>
      <c r="EP345" s="63"/>
      <c r="EQ345" s="54"/>
      <c r="ER345" s="86"/>
      <c r="FF345" s="54"/>
      <c r="FG345" s="86"/>
      <c r="FO345" s="45"/>
      <c r="FT345" s="86"/>
      <c r="FW345" s="63"/>
      <c r="FX345" s="54"/>
      <c r="GB345" s="86"/>
      <c r="GK345" s="45"/>
      <c r="GL345" s="54"/>
      <c r="GS345" s="86"/>
      <c r="HC345" s="63"/>
      <c r="HJ345" s="86"/>
      <c r="HT345" s="63"/>
      <c r="HZ345" s="54"/>
      <c r="IA345" s="86"/>
      <c r="IJ345" s="54"/>
      <c r="IK345" s="86"/>
    </row>
    <row r="346" spans="1:245">
      <c r="A346" s="86">
        <v>316</v>
      </c>
      <c r="B346" s="117"/>
      <c r="C346" s="117"/>
      <c r="D346" s="117"/>
      <c r="E346" s="117"/>
      <c r="K346" s="117"/>
      <c r="L346" s="117"/>
      <c r="M346" s="117"/>
      <c r="N346" s="117"/>
      <c r="O346" s="117"/>
      <c r="P346" s="117"/>
      <c r="Q346" s="117"/>
      <c r="R346" s="63"/>
      <c r="S346" s="117"/>
      <c r="T346" s="117"/>
      <c r="U346" s="117"/>
      <c r="V346" s="117"/>
      <c r="W346" s="117"/>
      <c r="X346" s="117"/>
      <c r="Y346" s="117"/>
      <c r="Z346" s="117"/>
      <c r="AA346" s="117"/>
      <c r="AB346" s="117"/>
      <c r="AC346" s="117"/>
      <c r="AD346" s="117"/>
      <c r="AE346" s="117"/>
      <c r="AF346" s="74"/>
      <c r="AG346" s="117"/>
      <c r="AH346" s="117"/>
      <c r="AI346" s="117"/>
      <c r="AJ346" s="117"/>
      <c r="AK346" s="117"/>
      <c r="AL346" s="117"/>
      <c r="AM346" s="117"/>
      <c r="AN346" s="117"/>
      <c r="AO346" s="117"/>
      <c r="AP346" s="117"/>
      <c r="AQ346" s="117"/>
      <c r="AR346" s="117"/>
      <c r="AS346" s="145"/>
      <c r="AU346" s="117"/>
      <c r="AV346" s="45"/>
      <c r="AY346" s="162"/>
      <c r="BF346" s="45"/>
      <c r="BG346" s="246"/>
      <c r="BI346" s="138"/>
      <c r="BJ346" s="54"/>
      <c r="BK346" s="74"/>
      <c r="BL346" s="117"/>
      <c r="BM346" s="117"/>
      <c r="BN346" s="117"/>
      <c r="BO346" s="117"/>
      <c r="BP346" s="117"/>
      <c r="BQ346" s="117"/>
      <c r="BR346" s="117"/>
      <c r="BS346" s="117"/>
      <c r="BT346" s="117"/>
      <c r="BU346" s="117"/>
      <c r="BV346" s="117"/>
      <c r="BW346" s="117"/>
      <c r="BX346" s="117"/>
      <c r="BY346" s="117"/>
      <c r="CA346" s="102"/>
      <c r="CC346" s="86"/>
      <c r="CE346" s="102"/>
      <c r="CJ346" s="86"/>
      <c r="CP346" s="63"/>
      <c r="CQ346" s="54"/>
      <c r="CX346" s="86"/>
      <c r="DM346" s="342"/>
      <c r="DO346" s="63"/>
      <c r="DP346" s="86"/>
      <c r="ED346" s="54"/>
      <c r="EF346" s="63"/>
      <c r="EG346" s="86"/>
      <c r="EP346" s="63"/>
      <c r="EQ346" s="54"/>
      <c r="ER346" s="86"/>
      <c r="FF346" s="54"/>
      <c r="FG346" s="86"/>
      <c r="FO346" s="45"/>
      <c r="FT346" s="86"/>
      <c r="FW346" s="63"/>
      <c r="FX346" s="54"/>
      <c r="GB346" s="86"/>
      <c r="GK346" s="45"/>
      <c r="GL346" s="54"/>
      <c r="GS346" s="86"/>
      <c r="HC346" s="63"/>
      <c r="HJ346" s="86"/>
      <c r="HT346" s="63"/>
      <c r="HZ346" s="54"/>
      <c r="IA346" s="86"/>
      <c r="IJ346" s="54"/>
      <c r="IK346" s="86"/>
    </row>
    <row r="347" spans="1:245">
      <c r="A347" s="86">
        <v>317</v>
      </c>
      <c r="B347" s="117"/>
      <c r="C347" s="117"/>
      <c r="D347" s="117"/>
      <c r="E347" s="117"/>
      <c r="K347" s="117"/>
      <c r="L347" s="117"/>
      <c r="M347" s="117"/>
      <c r="N347" s="117"/>
      <c r="O347" s="117"/>
      <c r="P347" s="117"/>
      <c r="Q347" s="117"/>
      <c r="R347" s="63"/>
      <c r="S347" s="117"/>
      <c r="T347" s="117"/>
      <c r="U347" s="117"/>
      <c r="V347" s="117"/>
      <c r="W347" s="117"/>
      <c r="X347" s="117"/>
      <c r="Y347" s="117"/>
      <c r="Z347" s="117"/>
      <c r="AA347" s="117"/>
      <c r="AB347" s="117"/>
      <c r="AC347" s="117"/>
      <c r="AD347" s="117"/>
      <c r="AE347" s="117"/>
      <c r="AF347" s="74"/>
      <c r="AG347" s="117"/>
      <c r="AH347" s="117"/>
      <c r="AI347" s="117"/>
      <c r="AJ347" s="117"/>
      <c r="AK347" s="117"/>
      <c r="AL347" s="117"/>
      <c r="AM347" s="117"/>
      <c r="AN347" s="117"/>
      <c r="AO347" s="117"/>
      <c r="AP347" s="117"/>
      <c r="AQ347" s="117"/>
      <c r="AR347" s="117"/>
      <c r="AS347" s="145"/>
      <c r="AU347" s="117"/>
      <c r="AV347" s="45"/>
      <c r="AY347" s="162"/>
      <c r="BF347" s="45"/>
      <c r="BG347" s="246"/>
      <c r="BI347" s="138"/>
      <c r="BJ347" s="54"/>
      <c r="BK347" s="74"/>
      <c r="BL347" s="117"/>
      <c r="BM347" s="117"/>
      <c r="BN347" s="117"/>
      <c r="BO347" s="117"/>
      <c r="BP347" s="117"/>
      <c r="BQ347" s="117"/>
      <c r="BR347" s="117"/>
      <c r="BS347" s="117"/>
      <c r="BT347" s="117"/>
      <c r="BU347" s="117"/>
      <c r="BV347" s="117"/>
      <c r="BW347" s="117"/>
      <c r="BX347" s="117"/>
      <c r="BY347" s="117"/>
      <c r="CA347" s="102"/>
      <c r="CC347" s="86"/>
      <c r="CE347" s="102"/>
      <c r="CJ347" s="86"/>
      <c r="CP347" s="63"/>
      <c r="CQ347" s="54"/>
      <c r="CX347" s="86"/>
      <c r="DM347" s="342"/>
      <c r="DO347" s="63"/>
      <c r="DP347" s="86"/>
      <c r="ED347" s="54"/>
      <c r="EF347" s="63"/>
      <c r="EG347" s="86"/>
      <c r="EP347" s="63"/>
      <c r="EQ347" s="54"/>
      <c r="ER347" s="86"/>
      <c r="FF347" s="54"/>
      <c r="FG347" s="86"/>
      <c r="FO347" s="45"/>
      <c r="FT347" s="86"/>
      <c r="FW347" s="63"/>
      <c r="FX347" s="54"/>
      <c r="GB347" s="86"/>
      <c r="GK347" s="45"/>
      <c r="GL347" s="54"/>
      <c r="GS347" s="86"/>
      <c r="HC347" s="63"/>
      <c r="HJ347" s="86"/>
      <c r="HT347" s="63"/>
      <c r="HZ347" s="54"/>
      <c r="IA347" s="86"/>
      <c r="IJ347" s="54"/>
      <c r="IK347" s="86"/>
    </row>
    <row r="348" spans="1:245">
      <c r="A348" s="86">
        <v>318</v>
      </c>
      <c r="B348" s="117"/>
      <c r="C348" s="117"/>
      <c r="D348" s="117"/>
      <c r="E348" s="117"/>
      <c r="K348" s="117"/>
      <c r="L348" s="117"/>
      <c r="M348" s="117"/>
      <c r="N348" s="117"/>
      <c r="O348" s="117"/>
      <c r="P348" s="117"/>
      <c r="Q348" s="117"/>
      <c r="R348" s="63"/>
      <c r="S348" s="117"/>
      <c r="T348" s="117"/>
      <c r="U348" s="117"/>
      <c r="V348" s="117"/>
      <c r="W348" s="117"/>
      <c r="X348" s="117"/>
      <c r="Y348" s="117"/>
      <c r="Z348" s="117"/>
      <c r="AA348" s="117"/>
      <c r="AB348" s="117"/>
      <c r="AC348" s="117"/>
      <c r="AD348" s="117"/>
      <c r="AE348" s="117"/>
      <c r="AF348" s="74"/>
      <c r="AG348" s="117"/>
      <c r="AH348" s="117"/>
      <c r="AI348" s="117"/>
      <c r="AJ348" s="117"/>
      <c r="AK348" s="117"/>
      <c r="AL348" s="117"/>
      <c r="AM348" s="117"/>
      <c r="AN348" s="117"/>
      <c r="AO348" s="117"/>
      <c r="AP348" s="117"/>
      <c r="AQ348" s="117"/>
      <c r="AR348" s="117"/>
      <c r="AS348" s="145"/>
      <c r="AU348" s="117"/>
      <c r="AV348" s="45"/>
      <c r="AY348" s="162"/>
      <c r="BF348" s="45"/>
      <c r="BG348" s="246"/>
      <c r="BI348" s="138"/>
      <c r="BJ348" s="54"/>
      <c r="BK348" s="74"/>
      <c r="BL348" s="117"/>
      <c r="BM348" s="117"/>
      <c r="BN348" s="117"/>
      <c r="BO348" s="117"/>
      <c r="BP348" s="117"/>
      <c r="BQ348" s="117"/>
      <c r="BR348" s="117"/>
      <c r="BS348" s="117"/>
      <c r="BT348" s="117"/>
      <c r="BU348" s="117"/>
      <c r="BV348" s="117"/>
      <c r="BW348" s="117"/>
      <c r="BX348" s="117"/>
      <c r="BY348" s="117"/>
      <c r="CA348" s="102"/>
      <c r="CC348" s="86"/>
      <c r="CE348" s="102"/>
      <c r="CJ348" s="86"/>
      <c r="CP348" s="63"/>
      <c r="CQ348" s="54"/>
      <c r="CX348" s="86"/>
      <c r="DM348" s="342"/>
      <c r="DO348" s="63"/>
      <c r="DP348" s="86"/>
      <c r="ED348" s="54"/>
      <c r="EF348" s="63"/>
      <c r="EG348" s="86"/>
      <c r="EP348" s="63"/>
      <c r="EQ348" s="54"/>
      <c r="ER348" s="86"/>
      <c r="FF348" s="54"/>
      <c r="FG348" s="86"/>
      <c r="FO348" s="45"/>
      <c r="FT348" s="86"/>
      <c r="FW348" s="63"/>
      <c r="FX348" s="54"/>
      <c r="GB348" s="86"/>
      <c r="GK348" s="45"/>
      <c r="GL348" s="54"/>
      <c r="GS348" s="86"/>
      <c r="HC348" s="63"/>
      <c r="HJ348" s="86"/>
      <c r="HT348" s="63"/>
      <c r="HZ348" s="54"/>
      <c r="IA348" s="86"/>
      <c r="IJ348" s="54"/>
      <c r="IK348" s="86"/>
    </row>
    <row r="349" spans="1:245">
      <c r="A349" s="86">
        <v>319</v>
      </c>
      <c r="B349" s="117"/>
      <c r="C349" s="117"/>
      <c r="D349" s="117"/>
      <c r="E349" s="117"/>
      <c r="K349" s="117"/>
      <c r="L349" s="117"/>
      <c r="M349" s="117"/>
      <c r="N349" s="117"/>
      <c r="O349" s="117"/>
      <c r="P349" s="117"/>
      <c r="Q349" s="117"/>
      <c r="R349" s="63"/>
      <c r="S349" s="117"/>
      <c r="T349" s="117"/>
      <c r="U349" s="117"/>
      <c r="V349" s="117"/>
      <c r="W349" s="117"/>
      <c r="X349" s="117"/>
      <c r="Y349" s="117"/>
      <c r="Z349" s="117"/>
      <c r="AA349" s="117"/>
      <c r="AB349" s="117"/>
      <c r="AC349" s="117"/>
      <c r="AD349" s="117"/>
      <c r="AE349" s="117"/>
      <c r="AF349" s="74"/>
      <c r="AG349" s="117"/>
      <c r="AH349" s="117"/>
      <c r="AI349" s="117"/>
      <c r="AJ349" s="117"/>
      <c r="AK349" s="117"/>
      <c r="AL349" s="117"/>
      <c r="AM349" s="117"/>
      <c r="AN349" s="117"/>
      <c r="AO349" s="117"/>
      <c r="AP349" s="117"/>
      <c r="AQ349" s="117"/>
      <c r="AR349" s="117"/>
      <c r="AS349" s="145"/>
      <c r="AU349" s="117"/>
      <c r="AV349" s="45"/>
      <c r="AY349" s="162"/>
      <c r="BF349" s="45"/>
      <c r="BG349" s="246"/>
      <c r="BI349" s="138"/>
      <c r="BJ349" s="54"/>
      <c r="BK349" s="74"/>
      <c r="BL349" s="117"/>
      <c r="BM349" s="117"/>
      <c r="BN349" s="117"/>
      <c r="BO349" s="117"/>
      <c r="BP349" s="117"/>
      <c r="BQ349" s="117"/>
      <c r="BR349" s="117"/>
      <c r="BS349" s="117"/>
      <c r="BT349" s="117"/>
      <c r="BU349" s="117"/>
      <c r="BV349" s="117"/>
      <c r="BW349" s="117"/>
      <c r="BX349" s="117"/>
      <c r="BY349" s="117"/>
      <c r="CA349" s="102"/>
      <c r="CC349" s="86"/>
      <c r="CE349" s="102"/>
      <c r="CJ349" s="86"/>
      <c r="CP349" s="63"/>
      <c r="CQ349" s="54"/>
      <c r="CX349" s="86"/>
      <c r="DM349" s="342"/>
      <c r="DO349" s="63"/>
      <c r="DP349" s="86"/>
      <c r="ED349" s="54"/>
      <c r="EF349" s="63"/>
      <c r="EG349" s="86"/>
      <c r="EP349" s="63"/>
      <c r="EQ349" s="54"/>
      <c r="ER349" s="86"/>
      <c r="FF349" s="54"/>
      <c r="FG349" s="86"/>
      <c r="FO349" s="45"/>
      <c r="FT349" s="86"/>
      <c r="FW349" s="63"/>
      <c r="FX349" s="54"/>
      <c r="GB349" s="86"/>
      <c r="GK349" s="45"/>
      <c r="GL349" s="54"/>
      <c r="GS349" s="86"/>
      <c r="HC349" s="63"/>
      <c r="HJ349" s="86"/>
      <c r="HT349" s="63"/>
      <c r="HZ349" s="54"/>
      <c r="IA349" s="86"/>
      <c r="IJ349" s="54"/>
      <c r="IK349" s="86"/>
    </row>
    <row r="350" spans="1:245">
      <c r="A350" s="86">
        <v>320</v>
      </c>
      <c r="B350" s="117"/>
      <c r="C350" s="117"/>
      <c r="D350" s="117"/>
      <c r="E350" s="117"/>
      <c r="K350" s="117"/>
      <c r="L350" s="117"/>
      <c r="M350" s="117"/>
      <c r="N350" s="117"/>
      <c r="O350" s="117"/>
      <c r="P350" s="117"/>
      <c r="Q350" s="117"/>
      <c r="R350" s="63"/>
      <c r="S350" s="117"/>
      <c r="T350" s="117"/>
      <c r="U350" s="117"/>
      <c r="V350" s="117"/>
      <c r="W350" s="117"/>
      <c r="X350" s="117"/>
      <c r="Y350" s="117"/>
      <c r="Z350" s="117"/>
      <c r="AA350" s="117"/>
      <c r="AB350" s="117"/>
      <c r="AC350" s="117"/>
      <c r="AD350" s="117"/>
      <c r="AE350" s="117"/>
      <c r="AF350" s="74"/>
      <c r="AG350" s="117"/>
      <c r="AH350" s="117"/>
      <c r="AI350" s="117"/>
      <c r="AJ350" s="117"/>
      <c r="AK350" s="117"/>
      <c r="AL350" s="117"/>
      <c r="AM350" s="117"/>
      <c r="AN350" s="117"/>
      <c r="AO350" s="117"/>
      <c r="AP350" s="117"/>
      <c r="AQ350" s="117"/>
      <c r="AR350" s="117"/>
      <c r="AS350" s="145"/>
      <c r="AU350" s="117"/>
      <c r="AV350" s="45"/>
      <c r="AY350" s="162"/>
      <c r="BF350" s="45"/>
      <c r="BG350" s="246"/>
      <c r="BI350" s="138"/>
      <c r="BJ350" s="54"/>
      <c r="BK350" s="74"/>
      <c r="BL350" s="117"/>
      <c r="BM350" s="117"/>
      <c r="BN350" s="117"/>
      <c r="BO350" s="117"/>
      <c r="BP350" s="117"/>
      <c r="BQ350" s="117"/>
      <c r="BR350" s="117"/>
      <c r="BS350" s="117"/>
      <c r="BT350" s="117"/>
      <c r="BU350" s="117"/>
      <c r="BV350" s="117"/>
      <c r="BW350" s="117"/>
      <c r="BX350" s="117"/>
      <c r="BY350" s="117"/>
      <c r="CA350" s="102"/>
      <c r="CC350" s="86"/>
      <c r="CE350" s="102"/>
      <c r="CJ350" s="86"/>
      <c r="CP350" s="63"/>
      <c r="CQ350" s="54"/>
      <c r="CX350" s="86"/>
      <c r="DM350" s="342"/>
      <c r="DO350" s="63"/>
      <c r="DP350" s="86"/>
      <c r="ED350" s="54"/>
      <c r="EF350" s="63"/>
      <c r="EG350" s="86"/>
      <c r="EP350" s="63"/>
      <c r="EQ350" s="54"/>
      <c r="ER350" s="86"/>
      <c r="FF350" s="54"/>
      <c r="FG350" s="86"/>
      <c r="FO350" s="45"/>
      <c r="FT350" s="86"/>
      <c r="FW350" s="63"/>
      <c r="FX350" s="54"/>
      <c r="GB350" s="86"/>
      <c r="GK350" s="45"/>
      <c r="GL350" s="54"/>
      <c r="GS350" s="86"/>
      <c r="HC350" s="63"/>
      <c r="HJ350" s="86"/>
      <c r="HT350" s="63"/>
      <c r="HZ350" s="54"/>
      <c r="IA350" s="86"/>
      <c r="IJ350" s="54"/>
      <c r="IK350" s="86"/>
    </row>
    <row r="351" spans="1:245">
      <c r="A351" s="86">
        <v>321</v>
      </c>
      <c r="B351" s="117"/>
      <c r="C351" s="117"/>
      <c r="D351" s="117"/>
      <c r="E351" s="117"/>
      <c r="K351" s="117"/>
      <c r="L351" s="117"/>
      <c r="M351" s="117"/>
      <c r="N351" s="117"/>
      <c r="O351" s="117"/>
      <c r="P351" s="117"/>
      <c r="Q351" s="117"/>
      <c r="R351" s="63"/>
      <c r="S351" s="117"/>
      <c r="T351" s="117"/>
      <c r="U351" s="117"/>
      <c r="V351" s="117"/>
      <c r="W351" s="117"/>
      <c r="X351" s="117"/>
      <c r="Y351" s="117"/>
      <c r="Z351" s="117"/>
      <c r="AA351" s="117"/>
      <c r="AB351" s="117"/>
      <c r="AC351" s="117"/>
      <c r="AD351" s="117"/>
      <c r="AE351" s="117"/>
      <c r="AF351" s="74"/>
      <c r="AG351" s="117"/>
      <c r="AH351" s="117"/>
      <c r="AI351" s="117"/>
      <c r="AJ351" s="117"/>
      <c r="AK351" s="117"/>
      <c r="AL351" s="117"/>
      <c r="AM351" s="117"/>
      <c r="AN351" s="117"/>
      <c r="AO351" s="117"/>
      <c r="AP351" s="117"/>
      <c r="AQ351" s="117"/>
      <c r="AR351" s="117"/>
      <c r="AS351" s="145"/>
      <c r="AU351" s="117"/>
      <c r="AV351" s="45"/>
      <c r="AY351" s="162"/>
      <c r="BF351" s="45"/>
      <c r="BG351" s="246"/>
      <c r="BI351" s="138"/>
      <c r="BJ351" s="54"/>
      <c r="BK351" s="74"/>
      <c r="BL351" s="117"/>
      <c r="BM351" s="117"/>
      <c r="BN351" s="117"/>
      <c r="BO351" s="117"/>
      <c r="BP351" s="117"/>
      <c r="BQ351" s="117"/>
      <c r="BR351" s="117"/>
      <c r="BS351" s="117"/>
      <c r="BT351" s="117"/>
      <c r="BU351" s="117"/>
      <c r="BV351" s="117"/>
      <c r="BW351" s="117"/>
      <c r="BX351" s="117"/>
      <c r="BY351" s="117"/>
      <c r="CA351" s="102"/>
      <c r="CC351" s="86"/>
      <c r="CE351" s="102"/>
      <c r="CJ351" s="86"/>
      <c r="CP351" s="63"/>
      <c r="CQ351" s="54"/>
      <c r="CX351" s="86"/>
      <c r="DM351" s="342"/>
      <c r="DO351" s="63"/>
      <c r="DP351" s="86"/>
      <c r="ED351" s="54"/>
      <c r="EF351" s="63"/>
      <c r="EG351" s="86"/>
      <c r="EP351" s="63"/>
      <c r="EQ351" s="54"/>
      <c r="ER351" s="86"/>
      <c r="FF351" s="54"/>
      <c r="FG351" s="86"/>
      <c r="FO351" s="45"/>
      <c r="FT351" s="86"/>
      <c r="FW351" s="63"/>
      <c r="FX351" s="54"/>
      <c r="GB351" s="86"/>
      <c r="GK351" s="45"/>
      <c r="GL351" s="54"/>
      <c r="GS351" s="86"/>
      <c r="HC351" s="63"/>
      <c r="HJ351" s="86"/>
      <c r="HT351" s="63"/>
      <c r="HZ351" s="54"/>
      <c r="IA351" s="86"/>
      <c r="IJ351" s="54"/>
      <c r="IK351" s="86"/>
    </row>
    <row r="352" spans="1:245">
      <c r="A352" s="86">
        <v>322</v>
      </c>
      <c r="B352" s="117"/>
      <c r="C352" s="117"/>
      <c r="D352" s="117"/>
      <c r="E352" s="117"/>
      <c r="K352" s="117"/>
      <c r="L352" s="117"/>
      <c r="M352" s="117"/>
      <c r="N352" s="117"/>
      <c r="O352" s="117"/>
      <c r="P352" s="117"/>
      <c r="Q352" s="117"/>
      <c r="R352" s="63"/>
      <c r="S352" s="117"/>
      <c r="T352" s="117"/>
      <c r="U352" s="117"/>
      <c r="V352" s="117"/>
      <c r="W352" s="117"/>
      <c r="X352" s="117"/>
      <c r="Y352" s="117"/>
      <c r="Z352" s="117"/>
      <c r="AA352" s="117"/>
      <c r="AB352" s="117"/>
      <c r="AC352" s="117"/>
      <c r="AD352" s="117"/>
      <c r="AE352" s="117"/>
      <c r="AF352" s="74"/>
      <c r="AG352" s="117"/>
      <c r="AH352" s="117"/>
      <c r="AI352" s="117"/>
      <c r="AJ352" s="117"/>
      <c r="AK352" s="117"/>
      <c r="AL352" s="117"/>
      <c r="AM352" s="117"/>
      <c r="AN352" s="117"/>
      <c r="AO352" s="117"/>
      <c r="AP352" s="117"/>
      <c r="AQ352" s="117"/>
      <c r="AR352" s="117"/>
      <c r="AS352" s="145"/>
      <c r="AU352" s="117"/>
      <c r="AV352" s="45"/>
      <c r="AY352" s="162"/>
      <c r="BF352" s="45"/>
      <c r="BG352" s="246"/>
      <c r="BI352" s="138"/>
      <c r="BJ352" s="54"/>
      <c r="BK352" s="74"/>
      <c r="BL352" s="117"/>
      <c r="BM352" s="117"/>
      <c r="BN352" s="117"/>
      <c r="BO352" s="117"/>
      <c r="BP352" s="117"/>
      <c r="BQ352" s="117"/>
      <c r="BR352" s="117"/>
      <c r="BS352" s="117"/>
      <c r="BT352" s="117"/>
      <c r="BU352" s="117"/>
      <c r="BV352" s="117"/>
      <c r="BW352" s="117"/>
      <c r="BX352" s="117"/>
      <c r="BY352" s="117"/>
      <c r="CA352" s="102"/>
      <c r="CC352" s="86"/>
      <c r="CE352" s="102"/>
      <c r="CJ352" s="86"/>
      <c r="CP352" s="63"/>
      <c r="CQ352" s="54"/>
      <c r="CX352" s="86"/>
      <c r="DM352" s="342"/>
      <c r="DO352" s="63"/>
      <c r="DP352" s="86"/>
      <c r="ED352" s="54"/>
      <c r="EF352" s="63"/>
      <c r="EG352" s="86"/>
      <c r="EP352" s="63"/>
      <c r="EQ352" s="54"/>
      <c r="ER352" s="86"/>
      <c r="FF352" s="54"/>
      <c r="FG352" s="86"/>
      <c r="FO352" s="45"/>
      <c r="FT352" s="86"/>
      <c r="FW352" s="63"/>
      <c r="FX352" s="54"/>
      <c r="GB352" s="86"/>
      <c r="GK352" s="45"/>
      <c r="GL352" s="54"/>
      <c r="GS352" s="86"/>
      <c r="HC352" s="63"/>
      <c r="HJ352" s="86"/>
      <c r="HT352" s="63"/>
      <c r="HZ352" s="54"/>
      <c r="IA352" s="86"/>
      <c r="IJ352" s="54"/>
      <c r="IK352" s="86"/>
    </row>
    <row r="353" spans="1:245">
      <c r="A353" s="86">
        <v>323</v>
      </c>
      <c r="B353" s="117"/>
      <c r="C353" s="117"/>
      <c r="D353" s="117"/>
      <c r="E353" s="117"/>
      <c r="K353" s="117"/>
      <c r="L353" s="117"/>
      <c r="M353" s="117"/>
      <c r="N353" s="117"/>
      <c r="O353" s="117"/>
      <c r="P353" s="117"/>
      <c r="Q353" s="117"/>
      <c r="R353" s="63"/>
      <c r="S353" s="117"/>
      <c r="T353" s="117"/>
      <c r="U353" s="117"/>
      <c r="V353" s="117"/>
      <c r="W353" s="117"/>
      <c r="X353" s="117"/>
      <c r="Y353" s="117"/>
      <c r="Z353" s="117"/>
      <c r="AA353" s="117"/>
      <c r="AB353" s="117"/>
      <c r="AC353" s="117"/>
      <c r="AD353" s="117"/>
      <c r="AE353" s="117"/>
      <c r="AF353" s="74"/>
      <c r="AG353" s="117"/>
      <c r="AH353" s="117"/>
      <c r="AI353" s="117"/>
      <c r="AJ353" s="117"/>
      <c r="AK353" s="117"/>
      <c r="AL353" s="117"/>
      <c r="AM353" s="117"/>
      <c r="AN353" s="117"/>
      <c r="AO353" s="117"/>
      <c r="AP353" s="117"/>
      <c r="AQ353" s="117"/>
      <c r="AR353" s="117"/>
      <c r="AS353" s="145"/>
      <c r="AU353" s="117"/>
      <c r="AV353" s="45"/>
      <c r="AY353" s="162"/>
      <c r="BF353" s="45"/>
      <c r="BG353" s="246"/>
      <c r="BI353" s="138"/>
      <c r="BJ353" s="54"/>
      <c r="BK353" s="74"/>
      <c r="BL353" s="117"/>
      <c r="BM353" s="117"/>
      <c r="BN353" s="117"/>
      <c r="BO353" s="117"/>
      <c r="BP353" s="117"/>
      <c r="BQ353" s="117"/>
      <c r="BR353" s="117"/>
      <c r="BS353" s="117"/>
      <c r="BT353" s="117"/>
      <c r="BU353" s="117"/>
      <c r="BV353" s="117"/>
      <c r="BW353" s="117"/>
      <c r="BX353" s="117"/>
      <c r="BY353" s="117"/>
      <c r="CA353" s="102"/>
      <c r="CC353" s="86"/>
      <c r="CE353" s="102"/>
      <c r="CJ353" s="86"/>
      <c r="CP353" s="63"/>
      <c r="CQ353" s="54"/>
      <c r="CX353" s="86"/>
      <c r="DM353" s="342"/>
      <c r="DO353" s="63"/>
      <c r="DP353" s="86"/>
      <c r="ED353" s="54"/>
      <c r="EF353" s="63"/>
      <c r="EG353" s="86"/>
      <c r="EP353" s="63"/>
      <c r="EQ353" s="54"/>
      <c r="ER353" s="86"/>
      <c r="FF353" s="54"/>
      <c r="FG353" s="86"/>
      <c r="FO353" s="45"/>
      <c r="FT353" s="86"/>
      <c r="FW353" s="63"/>
      <c r="FX353" s="54"/>
      <c r="GB353" s="86"/>
      <c r="GK353" s="45"/>
      <c r="GL353" s="54"/>
      <c r="GS353" s="86"/>
      <c r="HC353" s="63"/>
      <c r="HJ353" s="86"/>
      <c r="HT353" s="63"/>
      <c r="HZ353" s="54"/>
      <c r="IA353" s="86"/>
      <c r="IJ353" s="54"/>
      <c r="IK353" s="86"/>
    </row>
    <row r="354" spans="1:245">
      <c r="A354" s="86">
        <v>324</v>
      </c>
      <c r="B354" s="117"/>
      <c r="C354" s="117"/>
      <c r="D354" s="117"/>
      <c r="E354" s="117"/>
      <c r="K354" s="117"/>
      <c r="L354" s="117"/>
      <c r="M354" s="117"/>
      <c r="N354" s="117"/>
      <c r="O354" s="117"/>
      <c r="P354" s="117"/>
      <c r="Q354" s="117"/>
      <c r="R354" s="63"/>
      <c r="S354" s="117"/>
      <c r="T354" s="117"/>
      <c r="U354" s="117"/>
      <c r="V354" s="117"/>
      <c r="W354" s="117"/>
      <c r="X354" s="117"/>
      <c r="Y354" s="117"/>
      <c r="Z354" s="117"/>
      <c r="AA354" s="117"/>
      <c r="AB354" s="117"/>
      <c r="AC354" s="117"/>
      <c r="AD354" s="117"/>
      <c r="AE354" s="117"/>
      <c r="AF354" s="74"/>
      <c r="AG354" s="117"/>
      <c r="AH354" s="117"/>
      <c r="AI354" s="117"/>
      <c r="AJ354" s="117"/>
      <c r="AK354" s="117"/>
      <c r="AL354" s="117"/>
      <c r="AM354" s="117"/>
      <c r="AN354" s="117"/>
      <c r="AO354" s="117"/>
      <c r="AP354" s="117"/>
      <c r="AQ354" s="117"/>
      <c r="AR354" s="117"/>
      <c r="AS354" s="145"/>
      <c r="AU354" s="117"/>
      <c r="AV354" s="45"/>
      <c r="AY354" s="162"/>
      <c r="BF354" s="45"/>
      <c r="BG354" s="246"/>
      <c r="BI354" s="138"/>
      <c r="BJ354" s="54"/>
      <c r="BK354" s="74"/>
      <c r="BL354" s="117"/>
      <c r="BM354" s="117"/>
      <c r="BN354" s="117"/>
      <c r="BO354" s="117"/>
      <c r="BP354" s="117"/>
      <c r="BQ354" s="117"/>
      <c r="BR354" s="117"/>
      <c r="BS354" s="117"/>
      <c r="BT354" s="117"/>
      <c r="BU354" s="117"/>
      <c r="BV354" s="117"/>
      <c r="BW354" s="117"/>
      <c r="BX354" s="117"/>
      <c r="BY354" s="117"/>
      <c r="CA354" s="102"/>
      <c r="CC354" s="86"/>
      <c r="CE354" s="102"/>
      <c r="CJ354" s="86"/>
      <c r="CP354" s="63"/>
      <c r="CQ354" s="54"/>
      <c r="CX354" s="86"/>
      <c r="DM354" s="342"/>
      <c r="DO354" s="63"/>
      <c r="DP354" s="86"/>
      <c r="ED354" s="54"/>
      <c r="EF354" s="63"/>
      <c r="EG354" s="86"/>
      <c r="EP354" s="63"/>
      <c r="EQ354" s="54"/>
      <c r="ER354" s="86"/>
      <c r="FF354" s="54"/>
      <c r="FG354" s="86"/>
      <c r="FO354" s="45"/>
      <c r="FT354" s="86"/>
      <c r="FW354" s="63"/>
      <c r="FX354" s="54"/>
      <c r="GB354" s="86"/>
      <c r="GK354" s="45"/>
      <c r="GL354" s="54"/>
      <c r="GS354" s="86"/>
      <c r="HC354" s="63"/>
      <c r="HJ354" s="86"/>
      <c r="HT354" s="63"/>
      <c r="HZ354" s="54"/>
      <c r="IA354" s="86"/>
      <c r="IJ354" s="54"/>
      <c r="IK354" s="86"/>
    </row>
    <row r="355" spans="1:245">
      <c r="A355" s="86">
        <v>325</v>
      </c>
      <c r="B355" s="117"/>
      <c r="C355" s="117"/>
      <c r="D355" s="117"/>
      <c r="E355" s="117"/>
      <c r="K355" s="117"/>
      <c r="L355" s="117"/>
      <c r="M355" s="117"/>
      <c r="N355" s="117"/>
      <c r="O355" s="117"/>
      <c r="P355" s="117"/>
      <c r="Q355" s="117"/>
      <c r="R355" s="63"/>
      <c r="S355" s="117"/>
      <c r="T355" s="117"/>
      <c r="U355" s="117"/>
      <c r="V355" s="117"/>
      <c r="W355" s="117"/>
      <c r="X355" s="117"/>
      <c r="Y355" s="117"/>
      <c r="Z355" s="117"/>
      <c r="AA355" s="117"/>
      <c r="AB355" s="117"/>
      <c r="AC355" s="117"/>
      <c r="AD355" s="117"/>
      <c r="AE355" s="117"/>
      <c r="AF355" s="74"/>
      <c r="AG355" s="117"/>
      <c r="AH355" s="117"/>
      <c r="AI355" s="117"/>
      <c r="AJ355" s="117"/>
      <c r="AK355" s="117"/>
      <c r="AL355" s="117"/>
      <c r="AM355" s="117"/>
      <c r="AN355" s="117"/>
      <c r="AO355" s="117"/>
      <c r="AP355" s="117"/>
      <c r="AQ355" s="117"/>
      <c r="AR355" s="117"/>
      <c r="AS355" s="145"/>
      <c r="AU355" s="117"/>
      <c r="AV355" s="45"/>
      <c r="AY355" s="162"/>
      <c r="BF355" s="45"/>
      <c r="BG355" s="246"/>
      <c r="BI355" s="138"/>
      <c r="BJ355" s="54"/>
      <c r="BK355" s="74"/>
      <c r="BL355" s="117"/>
      <c r="BM355" s="117"/>
      <c r="BN355" s="117"/>
      <c r="BO355" s="117"/>
      <c r="BP355" s="117"/>
      <c r="BQ355" s="117"/>
      <c r="BR355" s="117"/>
      <c r="BS355" s="117"/>
      <c r="BT355" s="117"/>
      <c r="BU355" s="117"/>
      <c r="BV355" s="117"/>
      <c r="BW355" s="117"/>
      <c r="BX355" s="117"/>
      <c r="BY355" s="117"/>
      <c r="CA355" s="102"/>
      <c r="CC355" s="86"/>
      <c r="CE355" s="102"/>
      <c r="CJ355" s="86"/>
      <c r="CP355" s="63"/>
      <c r="CQ355" s="54"/>
      <c r="CX355" s="86"/>
      <c r="DM355" s="342"/>
      <c r="DO355" s="63"/>
      <c r="DP355" s="86"/>
      <c r="ED355" s="54"/>
      <c r="EF355" s="63"/>
      <c r="EG355" s="86"/>
      <c r="EP355" s="63"/>
      <c r="EQ355" s="54"/>
      <c r="ER355" s="86"/>
      <c r="FF355" s="54"/>
      <c r="FG355" s="86"/>
      <c r="FO355" s="45"/>
      <c r="FT355" s="86"/>
      <c r="FW355" s="63"/>
      <c r="FX355" s="54"/>
      <c r="GB355" s="86"/>
      <c r="GK355" s="45"/>
      <c r="GL355" s="54"/>
      <c r="GS355" s="86"/>
      <c r="HC355" s="63"/>
      <c r="HJ355" s="86"/>
      <c r="HT355" s="63"/>
      <c r="HZ355" s="54"/>
      <c r="IA355" s="86"/>
      <c r="IJ355" s="54"/>
      <c r="IK355" s="86"/>
    </row>
    <row r="356" spans="1:245">
      <c r="A356" s="86">
        <v>326</v>
      </c>
      <c r="B356" s="117"/>
      <c r="C356" s="117"/>
      <c r="D356" s="117"/>
      <c r="E356" s="117"/>
      <c r="K356" s="117"/>
      <c r="L356" s="117"/>
      <c r="M356" s="117"/>
      <c r="N356" s="117"/>
      <c r="O356" s="117"/>
      <c r="P356" s="117"/>
      <c r="Q356" s="117"/>
      <c r="R356" s="63"/>
      <c r="S356" s="117"/>
      <c r="T356" s="117"/>
      <c r="U356" s="117"/>
      <c r="V356" s="117"/>
      <c r="W356" s="117"/>
      <c r="X356" s="117"/>
      <c r="Y356" s="117"/>
      <c r="Z356" s="117"/>
      <c r="AA356" s="117"/>
      <c r="AB356" s="117"/>
      <c r="AC356" s="117"/>
      <c r="AD356" s="117"/>
      <c r="AE356" s="117"/>
      <c r="AF356" s="74"/>
      <c r="AG356" s="117"/>
      <c r="AH356" s="117"/>
      <c r="AI356" s="117"/>
      <c r="AJ356" s="117"/>
      <c r="AK356" s="117"/>
      <c r="AL356" s="117"/>
      <c r="AM356" s="117"/>
      <c r="AN356" s="117"/>
      <c r="AO356" s="117"/>
      <c r="AP356" s="117"/>
      <c r="AQ356" s="117"/>
      <c r="AR356" s="117"/>
      <c r="AS356" s="145"/>
      <c r="AU356" s="117"/>
      <c r="AV356" s="45"/>
      <c r="AY356" s="162"/>
      <c r="BF356" s="45"/>
      <c r="BG356" s="246"/>
      <c r="BI356" s="138"/>
      <c r="BJ356" s="54"/>
      <c r="BK356" s="74"/>
      <c r="BL356" s="117"/>
      <c r="BM356" s="117"/>
      <c r="BN356" s="117"/>
      <c r="BO356" s="117"/>
      <c r="BP356" s="117"/>
      <c r="BQ356" s="117"/>
      <c r="BR356" s="117"/>
      <c r="BS356" s="117"/>
      <c r="BT356" s="117"/>
      <c r="BU356" s="117"/>
      <c r="BV356" s="117"/>
      <c r="BW356" s="117"/>
      <c r="BX356" s="117"/>
      <c r="BY356" s="117"/>
      <c r="CA356" s="102"/>
      <c r="CC356" s="86"/>
      <c r="CE356" s="102"/>
      <c r="CJ356" s="86"/>
      <c r="CP356" s="63"/>
      <c r="CQ356" s="54"/>
      <c r="CX356" s="86"/>
      <c r="DM356" s="342"/>
      <c r="DO356" s="63"/>
      <c r="DP356" s="86"/>
      <c r="ED356" s="54"/>
      <c r="EF356" s="63"/>
      <c r="EG356" s="86"/>
      <c r="EP356" s="63"/>
      <c r="EQ356" s="54"/>
      <c r="ER356" s="86"/>
      <c r="FF356" s="54"/>
      <c r="FG356" s="86"/>
      <c r="FO356" s="45"/>
      <c r="FT356" s="86"/>
      <c r="FW356" s="63"/>
      <c r="FX356" s="54"/>
      <c r="GB356" s="86"/>
      <c r="GK356" s="45"/>
      <c r="GL356" s="54"/>
      <c r="GS356" s="86"/>
      <c r="HC356" s="63"/>
      <c r="HJ356" s="86"/>
      <c r="HT356" s="63"/>
      <c r="HZ356" s="54"/>
      <c r="IA356" s="86"/>
      <c r="IJ356" s="54"/>
      <c r="IK356" s="86"/>
    </row>
    <row r="357" spans="1:245">
      <c r="A357" s="86">
        <v>327</v>
      </c>
      <c r="B357" s="117"/>
      <c r="C357" s="117"/>
      <c r="D357" s="117"/>
      <c r="E357" s="117"/>
      <c r="K357" s="117"/>
      <c r="L357" s="117"/>
      <c r="M357" s="117"/>
      <c r="N357" s="117"/>
      <c r="O357" s="117"/>
      <c r="P357" s="117"/>
      <c r="Q357" s="117"/>
      <c r="R357" s="63"/>
      <c r="S357" s="117"/>
      <c r="T357" s="117"/>
      <c r="U357" s="117"/>
      <c r="V357" s="117"/>
      <c r="W357" s="117"/>
      <c r="X357" s="117"/>
      <c r="Y357" s="117"/>
      <c r="Z357" s="117"/>
      <c r="AA357" s="117"/>
      <c r="AB357" s="117"/>
      <c r="AC357" s="117"/>
      <c r="AD357" s="117"/>
      <c r="AE357" s="117"/>
      <c r="AF357" s="74"/>
      <c r="AG357" s="117"/>
      <c r="AH357" s="117"/>
      <c r="AI357" s="117"/>
      <c r="AJ357" s="117"/>
      <c r="AK357" s="117"/>
      <c r="AL357" s="117"/>
      <c r="AM357" s="117"/>
      <c r="AN357" s="117"/>
      <c r="AO357" s="117"/>
      <c r="AP357" s="117"/>
      <c r="AQ357" s="117"/>
      <c r="AR357" s="117"/>
      <c r="AS357" s="145"/>
      <c r="AU357" s="117"/>
      <c r="AV357" s="45"/>
      <c r="AY357" s="162"/>
      <c r="BF357" s="45"/>
      <c r="BG357" s="246"/>
      <c r="BI357" s="138"/>
      <c r="BJ357" s="54"/>
      <c r="BK357" s="74"/>
      <c r="BL357" s="117"/>
      <c r="BM357" s="117"/>
      <c r="BN357" s="117"/>
      <c r="BO357" s="117"/>
      <c r="BP357" s="117"/>
      <c r="BQ357" s="117"/>
      <c r="BR357" s="117"/>
      <c r="BS357" s="117"/>
      <c r="BT357" s="117"/>
      <c r="BU357" s="117"/>
      <c r="BV357" s="117"/>
      <c r="BW357" s="117"/>
      <c r="BX357" s="117"/>
      <c r="BY357" s="117"/>
      <c r="CA357" s="102"/>
      <c r="CC357" s="86"/>
      <c r="CE357" s="102"/>
      <c r="CJ357" s="86"/>
      <c r="CP357" s="63"/>
      <c r="CQ357" s="54"/>
      <c r="CX357" s="86"/>
      <c r="DM357" s="342"/>
      <c r="DO357" s="63"/>
      <c r="DP357" s="86"/>
      <c r="ED357" s="54"/>
      <c r="EF357" s="63"/>
      <c r="EG357" s="86"/>
      <c r="EP357" s="63"/>
      <c r="EQ357" s="54"/>
      <c r="ER357" s="86"/>
      <c r="FF357" s="54"/>
      <c r="FG357" s="86"/>
      <c r="FO357" s="45"/>
      <c r="FT357" s="86"/>
      <c r="FW357" s="63"/>
      <c r="FX357" s="54"/>
      <c r="GB357" s="86"/>
      <c r="GK357" s="45"/>
      <c r="GL357" s="54"/>
      <c r="GS357" s="86"/>
      <c r="HC357" s="63"/>
      <c r="HJ357" s="86"/>
      <c r="HT357" s="63"/>
      <c r="HZ357" s="54"/>
      <c r="IA357" s="86"/>
      <c r="IJ357" s="54"/>
      <c r="IK357" s="86"/>
    </row>
    <row r="358" spans="1:245">
      <c r="A358" s="86">
        <v>328</v>
      </c>
      <c r="B358" s="117"/>
      <c r="C358" s="117"/>
      <c r="D358" s="117"/>
      <c r="E358" s="117"/>
      <c r="K358" s="117"/>
      <c r="L358" s="117"/>
      <c r="M358" s="117"/>
      <c r="N358" s="117"/>
      <c r="O358" s="117"/>
      <c r="P358" s="117"/>
      <c r="Q358" s="117"/>
      <c r="R358" s="63"/>
      <c r="S358" s="117"/>
      <c r="T358" s="117"/>
      <c r="U358" s="117"/>
      <c r="V358" s="117"/>
      <c r="W358" s="117"/>
      <c r="X358" s="117"/>
      <c r="Y358" s="117"/>
      <c r="Z358" s="117"/>
      <c r="AA358" s="117"/>
      <c r="AB358" s="117"/>
      <c r="AC358" s="117"/>
      <c r="AD358" s="117"/>
      <c r="AE358" s="117"/>
      <c r="AF358" s="74"/>
      <c r="AG358" s="117"/>
      <c r="AH358" s="117"/>
      <c r="AI358" s="117"/>
      <c r="AJ358" s="117"/>
      <c r="AK358" s="117"/>
      <c r="AL358" s="117"/>
      <c r="AM358" s="117"/>
      <c r="AN358" s="117"/>
      <c r="AO358" s="117"/>
      <c r="AP358" s="117"/>
      <c r="AQ358" s="117"/>
      <c r="AR358" s="117"/>
      <c r="AS358" s="145"/>
      <c r="AU358" s="117"/>
      <c r="AV358" s="45"/>
      <c r="AY358" s="162"/>
      <c r="BF358" s="45"/>
      <c r="BG358" s="246"/>
      <c r="BI358" s="138"/>
      <c r="BJ358" s="54"/>
      <c r="BK358" s="74"/>
      <c r="BL358" s="117"/>
      <c r="BM358" s="117"/>
      <c r="BN358" s="117"/>
      <c r="BO358" s="117"/>
      <c r="BP358" s="117"/>
      <c r="BQ358" s="117"/>
      <c r="BR358" s="117"/>
      <c r="BS358" s="117"/>
      <c r="BT358" s="117"/>
      <c r="BU358" s="117"/>
      <c r="BV358" s="117"/>
      <c r="BW358" s="117"/>
      <c r="BX358" s="117"/>
      <c r="BY358" s="117"/>
      <c r="CA358" s="102"/>
      <c r="CC358" s="86"/>
      <c r="CE358" s="102"/>
      <c r="CJ358" s="86"/>
      <c r="CP358" s="63"/>
      <c r="CQ358" s="54"/>
      <c r="CX358" s="86"/>
      <c r="DM358" s="342"/>
      <c r="DO358" s="63"/>
      <c r="DP358" s="86"/>
      <c r="ED358" s="54"/>
      <c r="EF358" s="63"/>
      <c r="EG358" s="86"/>
      <c r="EP358" s="63"/>
      <c r="EQ358" s="54"/>
      <c r="ER358" s="86"/>
      <c r="FF358" s="54"/>
      <c r="FG358" s="86"/>
      <c r="FO358" s="45"/>
      <c r="FT358" s="86"/>
      <c r="FW358" s="63"/>
      <c r="FX358" s="54"/>
      <c r="GB358" s="86"/>
      <c r="GK358" s="45"/>
      <c r="GL358" s="54"/>
      <c r="GS358" s="86"/>
      <c r="HC358" s="63"/>
      <c r="HJ358" s="86"/>
      <c r="HT358" s="63"/>
      <c r="HZ358" s="54"/>
      <c r="IA358" s="86"/>
      <c r="IJ358" s="54"/>
      <c r="IK358" s="86"/>
    </row>
    <row r="359" spans="1:245">
      <c r="A359" s="86">
        <v>329</v>
      </c>
      <c r="B359" s="117"/>
      <c r="C359" s="117"/>
      <c r="D359" s="117"/>
      <c r="E359" s="117"/>
      <c r="K359" s="117"/>
      <c r="L359" s="117"/>
      <c r="M359" s="117"/>
      <c r="N359" s="117"/>
      <c r="O359" s="117"/>
      <c r="P359" s="117"/>
      <c r="Q359" s="117"/>
      <c r="R359" s="63"/>
      <c r="S359" s="117"/>
      <c r="T359" s="117"/>
      <c r="U359" s="117"/>
      <c r="V359" s="117"/>
      <c r="W359" s="117"/>
      <c r="X359" s="117"/>
      <c r="Y359" s="117"/>
      <c r="Z359" s="117"/>
      <c r="AA359" s="117"/>
      <c r="AB359" s="117"/>
      <c r="AC359" s="117"/>
      <c r="AD359" s="117"/>
      <c r="AE359" s="117"/>
      <c r="AF359" s="74"/>
      <c r="AG359" s="117"/>
      <c r="AH359" s="117"/>
      <c r="AI359" s="117"/>
      <c r="AJ359" s="117"/>
      <c r="AK359" s="117"/>
      <c r="AL359" s="117"/>
      <c r="AM359" s="117"/>
      <c r="AN359" s="117"/>
      <c r="AO359" s="117"/>
      <c r="AP359" s="117"/>
      <c r="AQ359" s="117"/>
      <c r="AR359" s="117"/>
      <c r="AS359" s="145"/>
      <c r="AU359" s="117"/>
      <c r="AV359" s="45"/>
      <c r="AY359" s="162"/>
      <c r="BF359" s="45"/>
      <c r="BG359" s="246"/>
      <c r="BI359" s="138"/>
      <c r="BJ359" s="54"/>
      <c r="BK359" s="74"/>
      <c r="BL359" s="117"/>
      <c r="BM359" s="117"/>
      <c r="BN359" s="117"/>
      <c r="BO359" s="117"/>
      <c r="BP359" s="117"/>
      <c r="BQ359" s="117"/>
      <c r="BR359" s="117"/>
      <c r="BS359" s="117"/>
      <c r="BT359" s="117"/>
      <c r="BU359" s="117"/>
      <c r="BV359" s="117"/>
      <c r="BW359" s="117"/>
      <c r="BX359" s="117"/>
      <c r="BY359" s="117"/>
      <c r="CA359" s="102"/>
      <c r="CC359" s="86"/>
      <c r="CE359" s="102"/>
      <c r="CJ359" s="86"/>
      <c r="CP359" s="63"/>
      <c r="CQ359" s="54"/>
      <c r="CX359" s="86"/>
      <c r="DM359" s="342"/>
      <c r="DO359" s="63"/>
      <c r="DP359" s="86"/>
      <c r="ED359" s="54"/>
      <c r="EF359" s="63"/>
      <c r="EG359" s="86"/>
      <c r="EP359" s="63"/>
      <c r="EQ359" s="54"/>
      <c r="ER359" s="86"/>
      <c r="FF359" s="54"/>
      <c r="FG359" s="86"/>
      <c r="FO359" s="45"/>
      <c r="FT359" s="86"/>
      <c r="FW359" s="63"/>
      <c r="FX359" s="54"/>
      <c r="GB359" s="86"/>
      <c r="GK359" s="45"/>
      <c r="GL359" s="54"/>
      <c r="GS359" s="86"/>
      <c r="HC359" s="63"/>
      <c r="HJ359" s="86"/>
      <c r="HT359" s="63"/>
      <c r="HZ359" s="54"/>
      <c r="IA359" s="86"/>
      <c r="IJ359" s="54"/>
      <c r="IK359" s="86"/>
    </row>
    <row r="360" spans="1:245">
      <c r="A360" s="86">
        <v>330</v>
      </c>
      <c r="B360" s="117"/>
      <c r="C360" s="117"/>
      <c r="D360" s="117"/>
      <c r="E360" s="117"/>
      <c r="K360" s="117"/>
      <c r="L360" s="117"/>
      <c r="M360" s="117"/>
      <c r="N360" s="117"/>
      <c r="O360" s="117"/>
      <c r="P360" s="117"/>
      <c r="Q360" s="117"/>
      <c r="R360" s="63"/>
      <c r="S360" s="117"/>
      <c r="T360" s="117"/>
      <c r="U360" s="117"/>
      <c r="V360" s="117"/>
      <c r="W360" s="117"/>
      <c r="X360" s="117"/>
      <c r="Y360" s="117"/>
      <c r="Z360" s="117"/>
      <c r="AA360" s="117"/>
      <c r="AB360" s="117"/>
      <c r="AC360" s="117"/>
      <c r="AD360" s="117"/>
      <c r="AE360" s="117"/>
      <c r="AF360" s="74"/>
      <c r="AG360" s="117"/>
      <c r="AH360" s="117"/>
      <c r="AI360" s="117"/>
      <c r="AJ360" s="117"/>
      <c r="AK360" s="117"/>
      <c r="AL360" s="117"/>
      <c r="AM360" s="117"/>
      <c r="AN360" s="117"/>
      <c r="AO360" s="117"/>
      <c r="AP360" s="117"/>
      <c r="AQ360" s="117"/>
      <c r="AR360" s="117"/>
      <c r="AS360" s="145"/>
      <c r="AU360" s="117"/>
      <c r="AV360" s="45"/>
      <c r="AY360" s="162"/>
      <c r="BF360" s="45"/>
      <c r="BG360" s="246"/>
      <c r="BI360" s="138"/>
      <c r="BJ360" s="54"/>
      <c r="BK360" s="74"/>
      <c r="BL360" s="117"/>
      <c r="BM360" s="117"/>
      <c r="BN360" s="117"/>
      <c r="BO360" s="117"/>
      <c r="BP360" s="117"/>
      <c r="BQ360" s="117"/>
      <c r="BR360" s="117"/>
      <c r="BS360" s="117"/>
      <c r="BT360" s="117"/>
      <c r="BU360" s="117"/>
      <c r="BV360" s="117"/>
      <c r="BW360" s="117"/>
      <c r="BX360" s="117"/>
      <c r="BY360" s="117"/>
      <c r="CA360" s="102"/>
      <c r="CC360" s="86"/>
      <c r="CE360" s="102"/>
      <c r="CJ360" s="86"/>
      <c r="CP360" s="63"/>
      <c r="CQ360" s="54"/>
      <c r="CX360" s="86"/>
      <c r="DM360" s="342"/>
      <c r="DO360" s="63"/>
      <c r="DP360" s="86"/>
      <c r="ED360" s="54"/>
      <c r="EF360" s="63"/>
      <c r="EG360" s="86"/>
      <c r="EP360" s="63"/>
      <c r="EQ360" s="54"/>
      <c r="ER360" s="86"/>
      <c r="FF360" s="54"/>
      <c r="FG360" s="86"/>
      <c r="FO360" s="45"/>
      <c r="FT360" s="86"/>
      <c r="FW360" s="63"/>
      <c r="FX360" s="54"/>
      <c r="GB360" s="86"/>
      <c r="GK360" s="45"/>
      <c r="GL360" s="54"/>
      <c r="GS360" s="86"/>
      <c r="HC360" s="63"/>
      <c r="HJ360" s="86"/>
      <c r="HT360" s="63"/>
      <c r="HZ360" s="54"/>
      <c r="IA360" s="86"/>
      <c r="IJ360" s="54"/>
      <c r="IK360" s="86"/>
    </row>
    <row r="361" spans="1:245">
      <c r="A361" s="86">
        <v>331</v>
      </c>
      <c r="B361" s="117"/>
      <c r="C361" s="117"/>
      <c r="D361" s="117"/>
      <c r="E361" s="117"/>
      <c r="K361" s="117"/>
      <c r="L361" s="117"/>
      <c r="M361" s="117"/>
      <c r="N361" s="117"/>
      <c r="O361" s="117"/>
      <c r="P361" s="117"/>
      <c r="Q361" s="117"/>
      <c r="R361" s="63"/>
      <c r="S361" s="117"/>
      <c r="T361" s="117"/>
      <c r="U361" s="117"/>
      <c r="V361" s="117"/>
      <c r="W361" s="117"/>
      <c r="X361" s="117"/>
      <c r="Y361" s="117"/>
      <c r="Z361" s="117"/>
      <c r="AA361" s="117"/>
      <c r="AB361" s="117"/>
      <c r="AC361" s="117"/>
      <c r="AD361" s="117"/>
      <c r="AE361" s="117"/>
      <c r="AF361" s="74"/>
      <c r="AG361" s="117"/>
      <c r="AH361" s="117"/>
      <c r="AI361" s="117"/>
      <c r="AJ361" s="117"/>
      <c r="AK361" s="117"/>
      <c r="AL361" s="117"/>
      <c r="AM361" s="117"/>
      <c r="AN361" s="117"/>
      <c r="AO361" s="117"/>
      <c r="AP361" s="117"/>
      <c r="AQ361" s="117"/>
      <c r="AR361" s="117"/>
      <c r="AS361" s="145"/>
      <c r="AU361" s="117"/>
      <c r="AV361" s="45"/>
      <c r="AY361" s="162"/>
      <c r="BF361" s="45"/>
      <c r="BG361" s="246"/>
      <c r="BI361" s="138"/>
      <c r="BJ361" s="54"/>
      <c r="BK361" s="74"/>
      <c r="BL361" s="117"/>
      <c r="BM361" s="117"/>
      <c r="BN361" s="117"/>
      <c r="BO361" s="117"/>
      <c r="BP361" s="117"/>
      <c r="BQ361" s="117"/>
      <c r="BR361" s="117"/>
      <c r="BS361" s="117"/>
      <c r="BT361" s="117"/>
      <c r="BU361" s="117"/>
      <c r="BV361" s="117"/>
      <c r="BW361" s="117"/>
      <c r="BX361" s="117"/>
      <c r="BY361" s="117"/>
      <c r="CA361" s="102"/>
      <c r="CC361" s="86"/>
      <c r="CE361" s="102"/>
      <c r="CJ361" s="86"/>
      <c r="CP361" s="63"/>
      <c r="CQ361" s="54"/>
      <c r="CX361" s="86"/>
      <c r="DM361" s="342"/>
      <c r="DO361" s="63"/>
      <c r="DP361" s="86"/>
      <c r="ED361" s="54"/>
      <c r="EF361" s="63"/>
      <c r="EG361" s="86"/>
      <c r="EP361" s="63"/>
      <c r="EQ361" s="54"/>
      <c r="ER361" s="86"/>
      <c r="FF361" s="54"/>
      <c r="FG361" s="86"/>
      <c r="FO361" s="45"/>
      <c r="FT361" s="86"/>
      <c r="FW361" s="63"/>
      <c r="FX361" s="54"/>
      <c r="GB361" s="86"/>
      <c r="GK361" s="45"/>
      <c r="GL361" s="54"/>
      <c r="GS361" s="86"/>
      <c r="HC361" s="63"/>
      <c r="HJ361" s="86"/>
      <c r="HT361" s="63"/>
      <c r="HZ361" s="54"/>
      <c r="IA361" s="86"/>
      <c r="IJ361" s="54"/>
      <c r="IK361" s="86"/>
    </row>
    <row r="362" spans="1:245">
      <c r="A362" s="86">
        <v>332</v>
      </c>
      <c r="B362" s="117"/>
      <c r="C362" s="117"/>
      <c r="D362" s="117"/>
      <c r="E362" s="117"/>
      <c r="K362" s="117"/>
      <c r="L362" s="117"/>
      <c r="M362" s="117"/>
      <c r="N362" s="117"/>
      <c r="O362" s="117"/>
      <c r="P362" s="117"/>
      <c r="Q362" s="117"/>
      <c r="R362" s="63"/>
      <c r="S362" s="117"/>
      <c r="T362" s="117"/>
      <c r="U362" s="117"/>
      <c r="V362" s="117"/>
      <c r="W362" s="117"/>
      <c r="X362" s="117"/>
      <c r="Y362" s="117"/>
      <c r="Z362" s="117"/>
      <c r="AA362" s="117"/>
      <c r="AB362" s="117"/>
      <c r="AC362" s="117"/>
      <c r="AD362" s="117"/>
      <c r="AE362" s="117"/>
      <c r="AF362" s="74"/>
      <c r="AG362" s="117"/>
      <c r="AH362" s="117"/>
      <c r="AI362" s="117"/>
      <c r="AJ362" s="117"/>
      <c r="AK362" s="117"/>
      <c r="AL362" s="117"/>
      <c r="AM362" s="117"/>
      <c r="AN362" s="117"/>
      <c r="AO362" s="117"/>
      <c r="AP362" s="117"/>
      <c r="AQ362" s="117"/>
      <c r="AR362" s="117"/>
      <c r="AS362" s="145"/>
      <c r="AU362" s="117"/>
      <c r="AV362" s="45"/>
      <c r="AY362" s="162"/>
      <c r="BF362" s="45"/>
      <c r="BG362" s="246"/>
      <c r="BI362" s="138"/>
      <c r="BJ362" s="54"/>
      <c r="BK362" s="74"/>
      <c r="BL362" s="117"/>
      <c r="BM362" s="117"/>
      <c r="BN362" s="117"/>
      <c r="BO362" s="117"/>
      <c r="BP362" s="117"/>
      <c r="BQ362" s="117"/>
      <c r="BR362" s="117"/>
      <c r="BS362" s="117"/>
      <c r="BT362" s="117"/>
      <c r="BU362" s="117"/>
      <c r="BV362" s="117"/>
      <c r="BW362" s="117"/>
      <c r="BX362" s="117"/>
      <c r="BY362" s="117"/>
      <c r="CA362" s="102"/>
      <c r="CC362" s="86"/>
      <c r="CE362" s="102"/>
      <c r="CJ362" s="86"/>
      <c r="CP362" s="63"/>
      <c r="CQ362" s="54"/>
      <c r="CX362" s="86"/>
      <c r="DM362" s="342"/>
      <c r="DO362" s="63"/>
      <c r="DP362" s="86"/>
      <c r="ED362" s="54"/>
      <c r="EF362" s="63"/>
      <c r="EG362" s="86"/>
      <c r="EP362" s="63"/>
      <c r="EQ362" s="54"/>
      <c r="ER362" s="86"/>
      <c r="FF362" s="54"/>
      <c r="FG362" s="86"/>
      <c r="FO362" s="45"/>
      <c r="FT362" s="86"/>
      <c r="FW362" s="63"/>
      <c r="FX362" s="54"/>
      <c r="GB362" s="86"/>
      <c r="GK362" s="45"/>
      <c r="GL362" s="54"/>
      <c r="GS362" s="86"/>
      <c r="HC362" s="63"/>
      <c r="HJ362" s="86"/>
      <c r="HT362" s="63"/>
      <c r="HZ362" s="54"/>
      <c r="IA362" s="86"/>
      <c r="IJ362" s="54"/>
      <c r="IK362" s="86"/>
    </row>
    <row r="363" spans="1:245">
      <c r="A363" s="86">
        <v>333</v>
      </c>
      <c r="B363" s="117"/>
      <c r="C363" s="117"/>
      <c r="D363" s="117"/>
      <c r="E363" s="117"/>
      <c r="K363" s="117"/>
      <c r="L363" s="117"/>
      <c r="M363" s="117"/>
      <c r="N363" s="117"/>
      <c r="O363" s="117"/>
      <c r="P363" s="117"/>
      <c r="Q363" s="117"/>
      <c r="R363" s="63"/>
      <c r="S363" s="117"/>
      <c r="T363" s="117"/>
      <c r="U363" s="117"/>
      <c r="V363" s="117"/>
      <c r="W363" s="117"/>
      <c r="X363" s="117"/>
      <c r="Y363" s="117"/>
      <c r="Z363" s="117"/>
      <c r="AA363" s="117"/>
      <c r="AB363" s="117"/>
      <c r="AC363" s="117"/>
      <c r="AD363" s="117"/>
      <c r="AE363" s="117"/>
      <c r="AF363" s="74"/>
      <c r="AG363" s="117"/>
      <c r="AH363" s="117"/>
      <c r="AI363" s="117"/>
      <c r="AJ363" s="117"/>
      <c r="AK363" s="117"/>
      <c r="AL363" s="117"/>
      <c r="AM363" s="117"/>
      <c r="AN363" s="117"/>
      <c r="AO363" s="117"/>
      <c r="AP363" s="117"/>
      <c r="AQ363" s="117"/>
      <c r="AR363" s="117"/>
      <c r="AS363" s="145"/>
      <c r="AU363" s="117"/>
      <c r="AV363" s="45"/>
      <c r="AY363" s="162"/>
      <c r="BF363" s="45"/>
      <c r="BG363" s="246"/>
      <c r="BI363" s="138"/>
      <c r="BJ363" s="54"/>
      <c r="BK363" s="74"/>
      <c r="BL363" s="117"/>
      <c r="BM363" s="117"/>
      <c r="BN363" s="117"/>
      <c r="BO363" s="117"/>
      <c r="BP363" s="117"/>
      <c r="BQ363" s="117"/>
      <c r="BR363" s="117"/>
      <c r="BS363" s="117"/>
      <c r="BT363" s="117"/>
      <c r="BU363" s="117"/>
      <c r="BV363" s="117"/>
      <c r="BW363" s="117"/>
      <c r="BX363" s="117"/>
      <c r="BY363" s="117"/>
      <c r="CA363" s="102"/>
      <c r="CC363" s="86"/>
      <c r="CE363" s="102"/>
      <c r="CJ363" s="86"/>
      <c r="CP363" s="63"/>
      <c r="CQ363" s="54"/>
      <c r="CX363" s="86"/>
      <c r="DM363" s="342"/>
      <c r="DO363" s="63"/>
      <c r="DP363" s="86"/>
      <c r="ED363" s="54"/>
      <c r="EF363" s="63"/>
      <c r="EG363" s="86"/>
      <c r="EP363" s="63"/>
      <c r="EQ363" s="54"/>
      <c r="ER363" s="86"/>
      <c r="FF363" s="54"/>
      <c r="FG363" s="86"/>
      <c r="FO363" s="45"/>
      <c r="FT363" s="86"/>
      <c r="FW363" s="63"/>
      <c r="FX363" s="54"/>
      <c r="GB363" s="86"/>
      <c r="GK363" s="45"/>
      <c r="GL363" s="54"/>
      <c r="GS363" s="86"/>
      <c r="HC363" s="63"/>
      <c r="HJ363" s="86"/>
      <c r="HT363" s="63"/>
      <c r="HZ363" s="54"/>
      <c r="IA363" s="86"/>
      <c r="IJ363" s="54"/>
      <c r="IK363" s="86"/>
    </row>
    <row r="364" spans="1:245">
      <c r="A364" s="86">
        <v>334</v>
      </c>
      <c r="B364" s="117"/>
      <c r="C364" s="117"/>
      <c r="D364" s="117"/>
      <c r="E364" s="117"/>
      <c r="K364" s="117"/>
      <c r="L364" s="117"/>
      <c r="M364" s="117"/>
      <c r="N364" s="117"/>
      <c r="O364" s="117"/>
      <c r="P364" s="117"/>
      <c r="Q364" s="117"/>
      <c r="R364" s="63"/>
      <c r="S364" s="117"/>
      <c r="T364" s="117"/>
      <c r="U364" s="117"/>
      <c r="V364" s="117"/>
      <c r="W364" s="117"/>
      <c r="X364" s="117"/>
      <c r="Y364" s="117"/>
      <c r="Z364" s="117"/>
      <c r="AA364" s="117"/>
      <c r="AB364" s="117"/>
      <c r="AC364" s="117"/>
      <c r="AD364" s="117"/>
      <c r="AE364" s="117"/>
      <c r="AF364" s="74"/>
      <c r="AG364" s="117"/>
      <c r="AH364" s="117"/>
      <c r="AI364" s="117"/>
      <c r="AJ364" s="117"/>
      <c r="AK364" s="117"/>
      <c r="AL364" s="117"/>
      <c r="AM364" s="117"/>
      <c r="AN364" s="117"/>
      <c r="AO364" s="117"/>
      <c r="AP364" s="117"/>
      <c r="AQ364" s="117"/>
      <c r="AR364" s="117"/>
      <c r="AS364" s="145"/>
      <c r="AU364" s="117"/>
      <c r="AV364" s="45"/>
      <c r="AY364" s="162"/>
      <c r="BF364" s="45"/>
      <c r="BG364" s="246"/>
      <c r="BI364" s="138"/>
      <c r="BJ364" s="54"/>
      <c r="BK364" s="74"/>
      <c r="BL364" s="117"/>
      <c r="BM364" s="117"/>
      <c r="BN364" s="117"/>
      <c r="BO364" s="117"/>
      <c r="BP364" s="117"/>
      <c r="BQ364" s="117"/>
      <c r="BR364" s="117"/>
      <c r="BS364" s="117"/>
      <c r="BT364" s="117"/>
      <c r="BU364" s="117"/>
      <c r="BV364" s="117"/>
      <c r="BW364" s="117"/>
      <c r="BX364" s="117"/>
      <c r="BY364" s="117"/>
      <c r="CA364" s="102"/>
      <c r="CC364" s="86"/>
      <c r="CE364" s="102"/>
      <c r="CJ364" s="86"/>
      <c r="CP364" s="63"/>
      <c r="CQ364" s="54"/>
      <c r="CX364" s="86"/>
      <c r="DM364" s="342"/>
      <c r="DO364" s="63"/>
      <c r="DP364" s="86"/>
      <c r="ED364" s="54"/>
      <c r="EF364" s="63"/>
      <c r="EG364" s="86"/>
      <c r="EP364" s="63"/>
      <c r="EQ364" s="54"/>
      <c r="ER364" s="86"/>
      <c r="FF364" s="54"/>
      <c r="FG364" s="86"/>
      <c r="FO364" s="45"/>
      <c r="FT364" s="86"/>
      <c r="FW364" s="63"/>
      <c r="FX364" s="54"/>
      <c r="GB364" s="86"/>
      <c r="GK364" s="45"/>
      <c r="GL364" s="54"/>
      <c r="GS364" s="86"/>
      <c r="HC364" s="63"/>
      <c r="HJ364" s="86"/>
      <c r="HT364" s="63"/>
      <c r="HZ364" s="54"/>
      <c r="IA364" s="86"/>
      <c r="IJ364" s="54"/>
      <c r="IK364" s="86"/>
    </row>
    <row r="365" spans="1:245">
      <c r="A365" s="86">
        <v>335</v>
      </c>
      <c r="B365" s="117"/>
      <c r="C365" s="117"/>
      <c r="D365" s="117"/>
      <c r="E365" s="117"/>
      <c r="K365" s="117"/>
      <c r="L365" s="117"/>
      <c r="M365" s="117"/>
      <c r="N365" s="117"/>
      <c r="O365" s="117"/>
      <c r="P365" s="117"/>
      <c r="Q365" s="117"/>
      <c r="R365" s="63"/>
      <c r="S365" s="117"/>
      <c r="T365" s="117"/>
      <c r="U365" s="117"/>
      <c r="V365" s="117"/>
      <c r="W365" s="117"/>
      <c r="X365" s="117"/>
      <c r="Y365" s="117"/>
      <c r="Z365" s="117"/>
      <c r="AA365" s="117"/>
      <c r="AB365" s="117"/>
      <c r="AC365" s="117"/>
      <c r="AD365" s="117"/>
      <c r="AE365" s="117"/>
      <c r="AF365" s="74"/>
      <c r="AG365" s="117"/>
      <c r="AH365" s="117"/>
      <c r="AI365" s="117"/>
      <c r="AJ365" s="117"/>
      <c r="AK365" s="117"/>
      <c r="AL365" s="117"/>
      <c r="AM365" s="117"/>
      <c r="AN365" s="117"/>
      <c r="AO365" s="117"/>
      <c r="AP365" s="117"/>
      <c r="AQ365" s="117"/>
      <c r="AR365" s="117"/>
      <c r="AS365" s="145"/>
      <c r="AU365" s="117"/>
      <c r="AV365" s="45"/>
      <c r="AY365" s="162"/>
      <c r="BF365" s="45"/>
      <c r="BG365" s="246"/>
      <c r="BI365" s="138"/>
      <c r="BJ365" s="54"/>
      <c r="BK365" s="74"/>
      <c r="BL365" s="117"/>
      <c r="BM365" s="117"/>
      <c r="BN365" s="117"/>
      <c r="BO365" s="117"/>
      <c r="BP365" s="117"/>
      <c r="BQ365" s="117"/>
      <c r="BR365" s="117"/>
      <c r="BS365" s="117"/>
      <c r="BT365" s="117"/>
      <c r="BU365" s="117"/>
      <c r="BV365" s="117"/>
      <c r="BW365" s="117"/>
      <c r="BX365" s="117"/>
      <c r="BY365" s="117"/>
      <c r="CA365" s="102"/>
      <c r="CC365" s="86"/>
      <c r="CE365" s="102"/>
      <c r="CJ365" s="86"/>
      <c r="CP365" s="63"/>
      <c r="CQ365" s="54"/>
      <c r="CX365" s="86"/>
      <c r="DM365" s="342"/>
      <c r="DO365" s="63"/>
      <c r="DP365" s="86"/>
      <c r="ED365" s="54"/>
      <c r="EF365" s="63"/>
      <c r="EG365" s="86"/>
      <c r="EP365" s="63"/>
      <c r="EQ365" s="54"/>
      <c r="ER365" s="86"/>
      <c r="FF365" s="54"/>
      <c r="FG365" s="86"/>
      <c r="FO365" s="45"/>
      <c r="FT365" s="86"/>
      <c r="FW365" s="63"/>
      <c r="FX365" s="54"/>
      <c r="GB365" s="86"/>
      <c r="GK365" s="45"/>
      <c r="GL365" s="54"/>
      <c r="GS365" s="86"/>
      <c r="HC365" s="63"/>
      <c r="HJ365" s="86"/>
      <c r="HT365" s="63"/>
      <c r="HZ365" s="54"/>
      <c r="IA365" s="86"/>
      <c r="IJ365" s="54"/>
      <c r="IK365" s="86"/>
    </row>
    <row r="366" spans="1:245">
      <c r="A366" s="86">
        <v>336</v>
      </c>
      <c r="B366" s="117"/>
      <c r="C366" s="117"/>
      <c r="D366" s="117"/>
      <c r="E366" s="117"/>
      <c r="K366" s="117"/>
      <c r="L366" s="117"/>
      <c r="M366" s="117"/>
      <c r="N366" s="117"/>
      <c r="O366" s="117"/>
      <c r="P366" s="117"/>
      <c r="Q366" s="117"/>
      <c r="R366" s="63"/>
      <c r="S366" s="117"/>
      <c r="T366" s="117"/>
      <c r="U366" s="117"/>
      <c r="V366" s="117"/>
      <c r="W366" s="117"/>
      <c r="X366" s="117"/>
      <c r="Y366" s="117"/>
      <c r="Z366" s="117"/>
      <c r="AA366" s="117"/>
      <c r="AB366" s="117"/>
      <c r="AC366" s="117"/>
      <c r="AD366" s="117"/>
      <c r="AE366" s="117"/>
      <c r="AF366" s="74"/>
      <c r="AG366" s="117"/>
      <c r="AH366" s="117"/>
      <c r="AI366" s="117"/>
      <c r="AJ366" s="117"/>
      <c r="AK366" s="117"/>
      <c r="AL366" s="117"/>
      <c r="AM366" s="117"/>
      <c r="AN366" s="117"/>
      <c r="AO366" s="117"/>
      <c r="AP366" s="117"/>
      <c r="AQ366" s="117"/>
      <c r="AR366" s="117"/>
      <c r="AS366" s="145"/>
      <c r="AU366" s="117"/>
      <c r="AV366" s="45"/>
      <c r="AY366" s="162"/>
      <c r="BF366" s="45"/>
      <c r="BG366" s="246"/>
      <c r="BI366" s="138"/>
      <c r="BJ366" s="54"/>
      <c r="BK366" s="74"/>
      <c r="BL366" s="117"/>
      <c r="BM366" s="117"/>
      <c r="BN366" s="117"/>
      <c r="BO366" s="117"/>
      <c r="BP366" s="117"/>
      <c r="BQ366" s="117"/>
      <c r="BR366" s="117"/>
      <c r="BS366" s="117"/>
      <c r="BT366" s="117"/>
      <c r="BU366" s="117"/>
      <c r="BV366" s="117"/>
      <c r="BW366" s="117"/>
      <c r="BX366" s="117"/>
      <c r="BY366" s="117"/>
      <c r="CA366" s="102"/>
      <c r="CC366" s="86"/>
      <c r="CE366" s="102"/>
      <c r="CJ366" s="86"/>
      <c r="CP366" s="63"/>
      <c r="CQ366" s="54"/>
      <c r="CX366" s="86"/>
      <c r="DM366" s="342"/>
      <c r="DO366" s="63"/>
      <c r="DP366" s="86"/>
      <c r="ED366" s="54"/>
      <c r="EF366" s="63"/>
      <c r="EG366" s="86"/>
      <c r="EP366" s="63"/>
      <c r="EQ366" s="54"/>
      <c r="ER366" s="86"/>
      <c r="FF366" s="54"/>
      <c r="FG366" s="86"/>
      <c r="FO366" s="45"/>
      <c r="FT366" s="86"/>
      <c r="FW366" s="63"/>
      <c r="FX366" s="54"/>
      <c r="GB366" s="86"/>
      <c r="GK366" s="45"/>
      <c r="GL366" s="54"/>
      <c r="GS366" s="86"/>
      <c r="HC366" s="63"/>
      <c r="HJ366" s="86"/>
      <c r="HT366" s="63"/>
      <c r="HZ366" s="54"/>
      <c r="IA366" s="86"/>
      <c r="IJ366" s="54"/>
      <c r="IK366" s="86"/>
    </row>
    <row r="367" spans="1:245">
      <c r="A367" s="86">
        <v>337</v>
      </c>
      <c r="B367" s="117"/>
      <c r="C367" s="117"/>
      <c r="D367" s="117"/>
      <c r="E367" s="117"/>
      <c r="K367" s="117"/>
      <c r="L367" s="117"/>
      <c r="M367" s="117"/>
      <c r="N367" s="117"/>
      <c r="O367" s="117"/>
      <c r="P367" s="117"/>
      <c r="Q367" s="117"/>
      <c r="R367" s="63"/>
      <c r="S367" s="117"/>
      <c r="T367" s="117"/>
      <c r="U367" s="117"/>
      <c r="V367" s="117"/>
      <c r="W367" s="117"/>
      <c r="X367" s="117"/>
      <c r="Y367" s="117"/>
      <c r="Z367" s="117"/>
      <c r="AA367" s="117"/>
      <c r="AB367" s="117"/>
      <c r="AC367" s="117"/>
      <c r="AD367" s="117"/>
      <c r="AE367" s="117"/>
      <c r="AF367" s="74"/>
      <c r="AG367" s="117"/>
      <c r="AH367" s="117"/>
      <c r="AI367" s="117"/>
      <c r="AJ367" s="117"/>
      <c r="AK367" s="117"/>
      <c r="AL367" s="117"/>
      <c r="AM367" s="117"/>
      <c r="AN367" s="117"/>
      <c r="AO367" s="117"/>
      <c r="AP367" s="117"/>
      <c r="AQ367" s="117"/>
      <c r="AR367" s="117"/>
      <c r="AS367" s="145"/>
      <c r="AU367" s="117"/>
      <c r="AV367" s="45"/>
      <c r="AY367" s="162"/>
      <c r="BF367" s="45"/>
      <c r="BG367" s="246"/>
      <c r="BI367" s="138"/>
      <c r="BJ367" s="54"/>
      <c r="BK367" s="74"/>
      <c r="BL367" s="117"/>
      <c r="BM367" s="117"/>
      <c r="BN367" s="117"/>
      <c r="BO367" s="117"/>
      <c r="BP367" s="117"/>
      <c r="BQ367" s="117"/>
      <c r="BR367" s="117"/>
      <c r="BS367" s="117"/>
      <c r="BT367" s="117"/>
      <c r="BU367" s="117"/>
      <c r="BV367" s="117"/>
      <c r="BW367" s="117"/>
      <c r="BX367" s="117"/>
      <c r="BY367" s="117"/>
      <c r="CA367" s="102"/>
      <c r="CC367" s="86"/>
      <c r="CE367" s="102"/>
      <c r="CJ367" s="86"/>
      <c r="CP367" s="63"/>
      <c r="CQ367" s="54"/>
      <c r="CX367" s="86"/>
      <c r="DM367" s="342"/>
      <c r="DO367" s="63"/>
      <c r="DP367" s="86"/>
      <c r="ED367" s="54"/>
      <c r="EF367" s="63"/>
      <c r="EG367" s="86"/>
      <c r="EP367" s="63"/>
      <c r="EQ367" s="54"/>
      <c r="ER367" s="86"/>
      <c r="FF367" s="54"/>
      <c r="FG367" s="86"/>
      <c r="FO367" s="45"/>
      <c r="FT367" s="86"/>
      <c r="FW367" s="63"/>
      <c r="FX367" s="54"/>
      <c r="GB367" s="86"/>
      <c r="GK367" s="45"/>
      <c r="GL367" s="54"/>
      <c r="GS367" s="86"/>
      <c r="HC367" s="63"/>
      <c r="HJ367" s="86"/>
      <c r="HT367" s="63"/>
      <c r="HZ367" s="54"/>
      <c r="IA367" s="86"/>
      <c r="IJ367" s="54"/>
      <c r="IK367" s="86"/>
    </row>
    <row r="368" spans="1:245">
      <c r="A368" s="86">
        <v>338</v>
      </c>
      <c r="B368" s="117"/>
      <c r="C368" s="117"/>
      <c r="D368" s="117"/>
      <c r="E368" s="117"/>
      <c r="K368" s="117"/>
      <c r="L368" s="117"/>
      <c r="M368" s="117"/>
      <c r="N368" s="117"/>
      <c r="O368" s="117"/>
      <c r="P368" s="117"/>
      <c r="Q368" s="117"/>
      <c r="R368" s="63"/>
      <c r="S368" s="117"/>
      <c r="T368" s="117"/>
      <c r="U368" s="117"/>
      <c r="V368" s="117"/>
      <c r="W368" s="117"/>
      <c r="X368" s="117"/>
      <c r="Y368" s="117"/>
      <c r="Z368" s="117"/>
      <c r="AA368" s="117"/>
      <c r="AB368" s="117"/>
      <c r="AC368" s="117"/>
      <c r="AD368" s="117"/>
      <c r="AE368" s="117"/>
      <c r="AF368" s="74"/>
      <c r="AG368" s="117"/>
      <c r="AH368" s="117"/>
      <c r="AI368" s="117"/>
      <c r="AJ368" s="117"/>
      <c r="AK368" s="117"/>
      <c r="AL368" s="117"/>
      <c r="AM368" s="117"/>
      <c r="AN368" s="117"/>
      <c r="AO368" s="117"/>
      <c r="AP368" s="117"/>
      <c r="AQ368" s="117"/>
      <c r="AR368" s="117"/>
      <c r="AS368" s="145"/>
      <c r="AU368" s="117"/>
      <c r="AV368" s="45"/>
      <c r="AY368" s="162"/>
      <c r="BF368" s="45"/>
      <c r="BG368" s="246"/>
      <c r="BI368" s="138"/>
      <c r="BJ368" s="54"/>
      <c r="BK368" s="74"/>
      <c r="BL368" s="117"/>
      <c r="BM368" s="117"/>
      <c r="BN368" s="117"/>
      <c r="BO368" s="117"/>
      <c r="BP368" s="117"/>
      <c r="BQ368" s="117"/>
      <c r="BR368" s="117"/>
      <c r="BS368" s="117"/>
      <c r="BT368" s="117"/>
      <c r="BU368" s="117"/>
      <c r="BV368" s="117"/>
      <c r="BW368" s="117"/>
      <c r="BX368" s="117"/>
      <c r="BY368" s="117"/>
      <c r="CA368" s="102"/>
      <c r="CC368" s="86"/>
      <c r="CE368" s="102"/>
      <c r="CJ368" s="86"/>
      <c r="CP368" s="63"/>
      <c r="CQ368" s="54"/>
      <c r="CX368" s="86"/>
      <c r="DM368" s="342"/>
      <c r="DO368" s="63"/>
      <c r="DP368" s="86"/>
      <c r="ED368" s="54"/>
      <c r="EF368" s="63"/>
      <c r="EG368" s="86"/>
      <c r="EP368" s="63"/>
      <c r="EQ368" s="54"/>
      <c r="ER368" s="86"/>
      <c r="FF368" s="54"/>
      <c r="FG368" s="86"/>
      <c r="FO368" s="45"/>
      <c r="FT368" s="86"/>
      <c r="FW368" s="63"/>
      <c r="FX368" s="54"/>
      <c r="GB368" s="86"/>
      <c r="GK368" s="45"/>
      <c r="GL368" s="54"/>
      <c r="GS368" s="86"/>
      <c r="HC368" s="63"/>
      <c r="HJ368" s="86"/>
      <c r="HT368" s="63"/>
      <c r="HZ368" s="54"/>
      <c r="IA368" s="86"/>
      <c r="IJ368" s="54"/>
      <c r="IK368" s="86"/>
    </row>
    <row r="369" spans="1:245">
      <c r="A369" s="86">
        <v>339</v>
      </c>
      <c r="B369" s="117"/>
      <c r="C369" s="117"/>
      <c r="D369" s="117"/>
      <c r="E369" s="117"/>
      <c r="K369" s="117"/>
      <c r="L369" s="117"/>
      <c r="M369" s="117"/>
      <c r="N369" s="117"/>
      <c r="O369" s="117"/>
      <c r="P369" s="117"/>
      <c r="Q369" s="117"/>
      <c r="R369" s="63"/>
      <c r="S369" s="117"/>
      <c r="T369" s="117"/>
      <c r="U369" s="117"/>
      <c r="V369" s="117"/>
      <c r="W369" s="117"/>
      <c r="X369" s="117"/>
      <c r="Y369" s="117"/>
      <c r="Z369" s="117"/>
      <c r="AA369" s="117"/>
      <c r="AB369" s="117"/>
      <c r="AC369" s="117"/>
      <c r="AD369" s="117"/>
      <c r="AE369" s="117"/>
      <c r="AF369" s="74"/>
      <c r="AG369" s="117"/>
      <c r="AH369" s="117"/>
      <c r="AI369" s="117"/>
      <c r="AJ369" s="117"/>
      <c r="AK369" s="117"/>
      <c r="AL369" s="117"/>
      <c r="AM369" s="117"/>
      <c r="AN369" s="117"/>
      <c r="AO369" s="117"/>
      <c r="AP369" s="117"/>
      <c r="AQ369" s="117"/>
      <c r="AR369" s="117"/>
      <c r="AS369" s="145"/>
      <c r="AU369" s="117"/>
      <c r="AV369" s="45"/>
      <c r="AY369" s="162"/>
      <c r="BF369" s="45"/>
      <c r="BG369" s="246"/>
      <c r="BI369" s="138"/>
      <c r="BJ369" s="54"/>
      <c r="BK369" s="74"/>
      <c r="BL369" s="117"/>
      <c r="BM369" s="117"/>
      <c r="BN369" s="117"/>
      <c r="BO369" s="117"/>
      <c r="BP369" s="117"/>
      <c r="BQ369" s="117"/>
      <c r="BR369" s="117"/>
      <c r="BS369" s="117"/>
      <c r="BT369" s="117"/>
      <c r="BU369" s="117"/>
      <c r="BV369" s="117"/>
      <c r="BW369" s="117"/>
      <c r="BX369" s="117"/>
      <c r="BY369" s="117"/>
      <c r="CA369" s="102"/>
      <c r="CC369" s="86"/>
      <c r="CE369" s="102"/>
      <c r="CJ369" s="86"/>
      <c r="CP369" s="63"/>
      <c r="CQ369" s="54"/>
      <c r="CX369" s="86"/>
      <c r="DM369" s="342"/>
      <c r="DO369" s="63"/>
      <c r="DP369" s="86"/>
      <c r="ED369" s="54"/>
      <c r="EF369" s="63"/>
      <c r="EG369" s="86"/>
      <c r="EP369" s="63"/>
      <c r="EQ369" s="54"/>
      <c r="ER369" s="86"/>
      <c r="FF369" s="54"/>
      <c r="FG369" s="86"/>
      <c r="FO369" s="45"/>
      <c r="FT369" s="86"/>
      <c r="FW369" s="63"/>
      <c r="FX369" s="54"/>
      <c r="GB369" s="86"/>
      <c r="GK369" s="45"/>
      <c r="GL369" s="54"/>
      <c r="GS369" s="86"/>
      <c r="HC369" s="63"/>
      <c r="HJ369" s="86"/>
      <c r="HT369" s="63"/>
      <c r="HZ369" s="54"/>
      <c r="IA369" s="86"/>
      <c r="IJ369" s="54"/>
      <c r="IK369" s="86"/>
    </row>
    <row r="370" spans="1:245">
      <c r="A370" s="86">
        <v>340</v>
      </c>
      <c r="B370" s="117"/>
      <c r="C370" s="117"/>
      <c r="D370" s="117"/>
      <c r="E370" s="117"/>
      <c r="K370" s="117"/>
      <c r="L370" s="117"/>
      <c r="M370" s="117"/>
      <c r="N370" s="117"/>
      <c r="O370" s="117"/>
      <c r="P370" s="117"/>
      <c r="Q370" s="117"/>
      <c r="R370" s="63"/>
      <c r="S370" s="117"/>
      <c r="T370" s="117"/>
      <c r="U370" s="117"/>
      <c r="V370" s="117"/>
      <c r="W370" s="117"/>
      <c r="X370" s="117"/>
      <c r="Y370" s="117"/>
      <c r="Z370" s="117"/>
      <c r="AA370" s="117"/>
      <c r="AB370" s="117"/>
      <c r="AC370" s="117"/>
      <c r="AD370" s="117"/>
      <c r="AE370" s="117"/>
      <c r="AF370" s="74"/>
      <c r="AG370" s="117"/>
      <c r="AH370" s="117"/>
      <c r="AI370" s="117"/>
      <c r="AJ370" s="117"/>
      <c r="AK370" s="117"/>
      <c r="AL370" s="117"/>
      <c r="AM370" s="117"/>
      <c r="AN370" s="117"/>
      <c r="AO370" s="117"/>
      <c r="AP370" s="117"/>
      <c r="AQ370" s="117"/>
      <c r="AR370" s="117"/>
      <c r="AS370" s="145"/>
      <c r="AU370" s="117"/>
      <c r="AV370" s="45"/>
      <c r="AY370" s="162"/>
      <c r="BF370" s="45"/>
      <c r="BG370" s="246"/>
      <c r="BI370" s="138"/>
      <c r="BJ370" s="54"/>
      <c r="BK370" s="74"/>
      <c r="BL370" s="117"/>
      <c r="BM370" s="117"/>
      <c r="BN370" s="117"/>
      <c r="BO370" s="117"/>
      <c r="BP370" s="117"/>
      <c r="BQ370" s="117"/>
      <c r="BR370" s="117"/>
      <c r="BS370" s="117"/>
      <c r="BT370" s="117"/>
      <c r="BU370" s="117"/>
      <c r="BV370" s="117"/>
      <c r="BW370" s="117"/>
      <c r="BX370" s="117"/>
      <c r="BY370" s="117"/>
      <c r="CA370" s="102"/>
      <c r="CC370" s="86"/>
      <c r="CE370" s="102"/>
      <c r="CJ370" s="86"/>
      <c r="CP370" s="63"/>
      <c r="CQ370" s="54"/>
      <c r="CX370" s="86"/>
      <c r="DM370" s="342"/>
      <c r="DO370" s="63"/>
      <c r="DP370" s="86"/>
      <c r="ED370" s="54"/>
      <c r="EF370" s="63"/>
      <c r="EG370" s="86"/>
      <c r="EP370" s="63"/>
      <c r="EQ370" s="54"/>
      <c r="ER370" s="86"/>
      <c r="FF370" s="54"/>
      <c r="FG370" s="86"/>
      <c r="FO370" s="45"/>
      <c r="FT370" s="86"/>
      <c r="FW370" s="63"/>
      <c r="FX370" s="54"/>
      <c r="GB370" s="86"/>
      <c r="GK370" s="45"/>
      <c r="GL370" s="54"/>
      <c r="GS370" s="86"/>
      <c r="HC370" s="63"/>
      <c r="HJ370" s="86"/>
      <c r="HT370" s="63"/>
      <c r="HZ370" s="54"/>
      <c r="IA370" s="86"/>
      <c r="IJ370" s="54"/>
      <c r="IK370" s="86"/>
    </row>
    <row r="371" spans="1:245">
      <c r="A371" s="86">
        <v>341</v>
      </c>
      <c r="B371" s="117"/>
      <c r="C371" s="117"/>
      <c r="D371" s="117"/>
      <c r="E371" s="117"/>
      <c r="K371" s="117"/>
      <c r="L371" s="117"/>
      <c r="M371" s="117"/>
      <c r="N371" s="117"/>
      <c r="O371" s="117"/>
      <c r="P371" s="117"/>
      <c r="Q371" s="117"/>
      <c r="R371" s="63"/>
      <c r="S371" s="117"/>
      <c r="T371" s="117"/>
      <c r="U371" s="117"/>
      <c r="V371" s="117"/>
      <c r="W371" s="117"/>
      <c r="X371" s="117"/>
      <c r="Y371" s="117"/>
      <c r="Z371" s="117"/>
      <c r="AA371" s="117"/>
      <c r="AB371" s="117"/>
      <c r="AC371" s="117"/>
      <c r="AD371" s="117"/>
      <c r="AE371" s="117"/>
      <c r="AF371" s="74"/>
      <c r="AG371" s="117"/>
      <c r="AH371" s="117"/>
      <c r="AI371" s="117"/>
      <c r="AJ371" s="117"/>
      <c r="AK371" s="117"/>
      <c r="AL371" s="117"/>
      <c r="AM371" s="117"/>
      <c r="AN371" s="117"/>
      <c r="AO371" s="117"/>
      <c r="AP371" s="117"/>
      <c r="AQ371" s="117"/>
      <c r="AR371" s="117"/>
      <c r="AS371" s="145"/>
      <c r="AU371" s="117"/>
      <c r="AV371" s="45"/>
      <c r="AY371" s="162"/>
      <c r="BF371" s="45"/>
      <c r="BG371" s="246"/>
      <c r="BI371" s="138"/>
      <c r="BJ371" s="54"/>
      <c r="BK371" s="74"/>
      <c r="BL371" s="117"/>
      <c r="BM371" s="117"/>
      <c r="BN371" s="117"/>
      <c r="BO371" s="117"/>
      <c r="BP371" s="117"/>
      <c r="BQ371" s="117"/>
      <c r="BR371" s="117"/>
      <c r="BS371" s="117"/>
      <c r="BT371" s="117"/>
      <c r="BU371" s="117"/>
      <c r="BV371" s="117"/>
      <c r="BW371" s="117"/>
      <c r="BX371" s="117"/>
      <c r="BY371" s="117"/>
      <c r="CA371" s="102"/>
      <c r="CC371" s="86"/>
      <c r="CE371" s="102"/>
      <c r="CJ371" s="86"/>
      <c r="CP371" s="63"/>
      <c r="CQ371" s="54"/>
      <c r="CX371" s="86"/>
      <c r="DM371" s="342"/>
      <c r="DO371" s="63"/>
      <c r="DP371" s="86"/>
      <c r="ED371" s="54"/>
      <c r="EF371" s="63"/>
      <c r="EG371" s="86"/>
      <c r="EP371" s="63"/>
      <c r="EQ371" s="54"/>
      <c r="ER371" s="86"/>
      <c r="FF371" s="54"/>
      <c r="FG371" s="86"/>
      <c r="FO371" s="45"/>
      <c r="FT371" s="86"/>
      <c r="FW371" s="63"/>
      <c r="FX371" s="54"/>
      <c r="GB371" s="86"/>
      <c r="GK371" s="45"/>
      <c r="GL371" s="54"/>
      <c r="GS371" s="86"/>
      <c r="HC371" s="63"/>
      <c r="HJ371" s="86"/>
      <c r="HT371" s="63"/>
      <c r="HZ371" s="54"/>
      <c r="IA371" s="86"/>
      <c r="IJ371" s="54"/>
      <c r="IK371" s="86"/>
    </row>
    <row r="372" spans="1:245">
      <c r="A372" s="86">
        <v>342</v>
      </c>
      <c r="B372" s="117"/>
      <c r="C372" s="117"/>
      <c r="D372" s="117"/>
      <c r="E372" s="117"/>
      <c r="K372" s="117"/>
      <c r="L372" s="117"/>
      <c r="M372" s="117"/>
      <c r="N372" s="117"/>
      <c r="O372" s="117"/>
      <c r="P372" s="117"/>
      <c r="Q372" s="117"/>
      <c r="R372" s="63"/>
      <c r="S372" s="117"/>
      <c r="T372" s="117"/>
      <c r="U372" s="117"/>
      <c r="V372" s="117"/>
      <c r="W372" s="117"/>
      <c r="X372" s="117"/>
      <c r="Y372" s="117"/>
      <c r="Z372" s="117"/>
      <c r="AA372" s="117"/>
      <c r="AB372" s="117"/>
      <c r="AC372" s="117"/>
      <c r="AD372" s="117"/>
      <c r="AE372" s="117"/>
      <c r="AF372" s="74"/>
      <c r="AG372" s="117"/>
      <c r="AH372" s="117"/>
      <c r="AI372" s="117"/>
      <c r="AJ372" s="117"/>
      <c r="AK372" s="117"/>
      <c r="AL372" s="117"/>
      <c r="AM372" s="117"/>
      <c r="AN372" s="117"/>
      <c r="AO372" s="117"/>
      <c r="AP372" s="117"/>
      <c r="AQ372" s="117"/>
      <c r="AR372" s="117"/>
      <c r="AS372" s="145"/>
      <c r="AU372" s="117"/>
      <c r="AV372" s="45"/>
      <c r="AY372" s="162"/>
      <c r="BF372" s="45"/>
      <c r="BG372" s="246"/>
      <c r="BI372" s="138"/>
      <c r="BJ372" s="54"/>
      <c r="BK372" s="74"/>
      <c r="BL372" s="117"/>
      <c r="BM372" s="117"/>
      <c r="BN372" s="117"/>
      <c r="BO372" s="117"/>
      <c r="BP372" s="117"/>
      <c r="BQ372" s="117"/>
      <c r="BR372" s="117"/>
      <c r="BS372" s="117"/>
      <c r="BT372" s="117"/>
      <c r="BU372" s="117"/>
      <c r="BV372" s="117"/>
      <c r="BW372" s="117"/>
      <c r="BX372" s="117"/>
      <c r="BY372" s="117"/>
      <c r="CA372" s="102"/>
      <c r="CC372" s="86"/>
      <c r="CE372" s="102"/>
      <c r="CJ372" s="86"/>
      <c r="CP372" s="63"/>
      <c r="CQ372" s="54"/>
      <c r="CX372" s="86"/>
      <c r="DM372" s="342"/>
      <c r="DO372" s="63"/>
      <c r="DP372" s="86"/>
      <c r="ED372" s="54"/>
      <c r="EF372" s="63"/>
      <c r="EG372" s="86"/>
      <c r="EP372" s="63"/>
      <c r="EQ372" s="54"/>
      <c r="ER372" s="86"/>
      <c r="FF372" s="54"/>
      <c r="FG372" s="86"/>
      <c r="FO372" s="45"/>
      <c r="FT372" s="86"/>
      <c r="FW372" s="63"/>
      <c r="FX372" s="54"/>
      <c r="GB372" s="86"/>
      <c r="GK372" s="45"/>
      <c r="GL372" s="54"/>
      <c r="GS372" s="86"/>
      <c r="HC372" s="63"/>
      <c r="HJ372" s="86"/>
      <c r="HT372" s="63"/>
      <c r="HZ372" s="54"/>
      <c r="IA372" s="86"/>
      <c r="IJ372" s="54"/>
      <c r="IK372" s="86"/>
    </row>
    <row r="373" spans="1:245">
      <c r="A373" s="86">
        <v>343</v>
      </c>
      <c r="B373" s="117"/>
      <c r="C373" s="117"/>
      <c r="D373" s="117"/>
      <c r="E373" s="117"/>
      <c r="K373" s="117"/>
      <c r="L373" s="117"/>
      <c r="M373" s="117"/>
      <c r="N373" s="117"/>
      <c r="O373" s="117"/>
      <c r="P373" s="117"/>
      <c r="Q373" s="117"/>
      <c r="R373" s="63"/>
      <c r="S373" s="117"/>
      <c r="T373" s="117"/>
      <c r="U373" s="117"/>
      <c r="V373" s="117"/>
      <c r="W373" s="117"/>
      <c r="X373" s="117"/>
      <c r="Y373" s="117"/>
      <c r="Z373" s="117"/>
      <c r="AA373" s="117"/>
      <c r="AB373" s="117"/>
      <c r="AC373" s="117"/>
      <c r="AD373" s="117"/>
      <c r="AE373" s="117"/>
      <c r="AF373" s="74"/>
      <c r="AG373" s="117"/>
      <c r="AH373" s="117"/>
      <c r="AI373" s="117"/>
      <c r="AJ373" s="117"/>
      <c r="AK373" s="117"/>
      <c r="AL373" s="117"/>
      <c r="AM373" s="117"/>
      <c r="AN373" s="117"/>
      <c r="AO373" s="117"/>
      <c r="AP373" s="117"/>
      <c r="AQ373" s="117"/>
      <c r="AR373" s="117"/>
      <c r="AS373" s="145"/>
      <c r="AU373" s="117"/>
      <c r="AV373" s="45"/>
      <c r="AY373" s="162"/>
      <c r="BF373" s="45"/>
      <c r="BG373" s="246"/>
      <c r="BI373" s="138"/>
      <c r="BJ373" s="54"/>
      <c r="BK373" s="74"/>
      <c r="BL373" s="117"/>
      <c r="BM373" s="117"/>
      <c r="BN373" s="117"/>
      <c r="BO373" s="117"/>
      <c r="BP373" s="117"/>
      <c r="BQ373" s="117"/>
      <c r="BR373" s="117"/>
      <c r="BS373" s="117"/>
      <c r="BT373" s="117"/>
      <c r="BU373" s="117"/>
      <c r="BV373" s="117"/>
      <c r="BW373" s="117"/>
      <c r="BX373" s="117"/>
      <c r="BY373" s="117"/>
      <c r="CA373" s="102"/>
      <c r="CC373" s="86"/>
      <c r="CE373" s="102"/>
      <c r="CJ373" s="86"/>
      <c r="CP373" s="63"/>
      <c r="CQ373" s="54"/>
      <c r="CX373" s="86"/>
      <c r="DM373" s="342"/>
      <c r="DO373" s="63"/>
      <c r="DP373" s="86"/>
      <c r="ED373" s="54"/>
      <c r="EF373" s="63"/>
      <c r="EG373" s="86"/>
      <c r="EP373" s="63"/>
      <c r="EQ373" s="54"/>
      <c r="ER373" s="86"/>
      <c r="FF373" s="54"/>
      <c r="FG373" s="86"/>
      <c r="FO373" s="45"/>
      <c r="FT373" s="86"/>
      <c r="FW373" s="63"/>
      <c r="FX373" s="54"/>
      <c r="GB373" s="86"/>
      <c r="GK373" s="45"/>
      <c r="GL373" s="54"/>
      <c r="GS373" s="86"/>
      <c r="HC373" s="63"/>
      <c r="HJ373" s="86"/>
      <c r="HT373" s="63"/>
      <c r="HZ373" s="54"/>
      <c r="IA373" s="86"/>
      <c r="IJ373" s="54"/>
      <c r="IK373" s="86"/>
    </row>
    <row r="374" spans="1:245">
      <c r="A374" s="86">
        <v>344</v>
      </c>
      <c r="B374" s="117"/>
      <c r="C374" s="117"/>
      <c r="D374" s="117"/>
      <c r="E374" s="117"/>
      <c r="K374" s="117"/>
      <c r="L374" s="117"/>
      <c r="M374" s="117"/>
      <c r="N374" s="117"/>
      <c r="O374" s="117"/>
      <c r="P374" s="117"/>
      <c r="Q374" s="117"/>
      <c r="R374" s="63"/>
      <c r="S374" s="117"/>
      <c r="T374" s="117"/>
      <c r="U374" s="117"/>
      <c r="V374" s="117"/>
      <c r="W374" s="117"/>
      <c r="X374" s="117"/>
      <c r="Y374" s="117"/>
      <c r="Z374" s="117"/>
      <c r="AA374" s="117"/>
      <c r="AB374" s="117"/>
      <c r="AC374" s="117"/>
      <c r="AD374" s="117"/>
      <c r="AE374" s="117"/>
      <c r="AF374" s="74"/>
      <c r="AG374" s="117"/>
      <c r="AH374" s="117"/>
      <c r="AI374" s="117"/>
      <c r="AJ374" s="117"/>
      <c r="AK374" s="117"/>
      <c r="AL374" s="117"/>
      <c r="AM374" s="117"/>
      <c r="AN374" s="117"/>
      <c r="AO374" s="117"/>
      <c r="AP374" s="117"/>
      <c r="AQ374" s="117"/>
      <c r="AR374" s="117"/>
      <c r="AS374" s="145"/>
      <c r="AU374" s="117"/>
      <c r="AV374" s="45"/>
      <c r="AY374" s="162"/>
      <c r="BF374" s="45"/>
      <c r="BG374" s="246"/>
      <c r="BI374" s="138"/>
      <c r="BJ374" s="54"/>
      <c r="BK374" s="74"/>
      <c r="BL374" s="117"/>
      <c r="BM374" s="117"/>
      <c r="BN374" s="117"/>
      <c r="BO374" s="117"/>
      <c r="BP374" s="117"/>
      <c r="BQ374" s="117"/>
      <c r="BR374" s="117"/>
      <c r="BS374" s="117"/>
      <c r="BT374" s="117"/>
      <c r="BU374" s="117"/>
      <c r="BV374" s="117"/>
      <c r="BW374" s="117"/>
      <c r="BX374" s="117"/>
      <c r="BY374" s="117"/>
      <c r="CA374" s="102"/>
      <c r="CC374" s="86"/>
      <c r="CE374" s="102"/>
      <c r="CJ374" s="86"/>
      <c r="CP374" s="63"/>
      <c r="CQ374" s="54"/>
      <c r="CX374" s="86"/>
      <c r="DM374" s="342"/>
      <c r="DO374" s="63"/>
      <c r="DP374" s="86"/>
      <c r="ED374" s="54"/>
      <c r="EF374" s="63"/>
      <c r="EG374" s="86"/>
      <c r="EP374" s="63"/>
      <c r="EQ374" s="54"/>
      <c r="ER374" s="86"/>
      <c r="FF374" s="54"/>
      <c r="FG374" s="86"/>
      <c r="FO374" s="45"/>
      <c r="FT374" s="86"/>
      <c r="FW374" s="63"/>
      <c r="FX374" s="54"/>
      <c r="GB374" s="86"/>
      <c r="GK374" s="45"/>
      <c r="GL374" s="54"/>
      <c r="GS374" s="86"/>
      <c r="HC374" s="63"/>
      <c r="HJ374" s="86"/>
      <c r="HT374" s="63"/>
      <c r="HZ374" s="54"/>
      <c r="IA374" s="86"/>
      <c r="IJ374" s="54"/>
      <c r="IK374" s="86"/>
    </row>
    <row r="375" spans="1:245">
      <c r="A375" s="86">
        <v>345</v>
      </c>
      <c r="B375" s="117"/>
      <c r="C375" s="117"/>
      <c r="D375" s="117"/>
      <c r="E375" s="117"/>
      <c r="K375" s="117"/>
      <c r="L375" s="117"/>
      <c r="M375" s="117"/>
      <c r="N375" s="117"/>
      <c r="O375" s="117"/>
      <c r="P375" s="117"/>
      <c r="Q375" s="117"/>
      <c r="R375" s="63"/>
      <c r="S375" s="117"/>
      <c r="T375" s="117"/>
      <c r="U375" s="117"/>
      <c r="V375" s="117"/>
      <c r="W375" s="117"/>
      <c r="X375" s="117"/>
      <c r="Y375" s="117"/>
      <c r="Z375" s="117"/>
      <c r="AA375" s="117"/>
      <c r="AB375" s="117"/>
      <c r="AC375" s="117"/>
      <c r="AD375" s="117"/>
      <c r="AE375" s="117"/>
      <c r="AF375" s="74"/>
      <c r="AG375" s="117"/>
      <c r="AH375" s="117"/>
      <c r="AI375" s="117"/>
      <c r="AJ375" s="117"/>
      <c r="AK375" s="117"/>
      <c r="AL375" s="117"/>
      <c r="AM375" s="117"/>
      <c r="AN375" s="117"/>
      <c r="AO375" s="117"/>
      <c r="AP375" s="117"/>
      <c r="AQ375" s="117"/>
      <c r="AR375" s="117"/>
      <c r="AS375" s="145"/>
      <c r="AU375" s="117"/>
      <c r="AV375" s="45"/>
      <c r="AY375" s="162"/>
      <c r="BF375" s="45"/>
      <c r="BG375" s="246"/>
      <c r="BI375" s="138"/>
      <c r="BJ375" s="54"/>
      <c r="BK375" s="74"/>
      <c r="BL375" s="117"/>
      <c r="BM375" s="117"/>
      <c r="BN375" s="117"/>
      <c r="BO375" s="117"/>
      <c r="BP375" s="117"/>
      <c r="BQ375" s="117"/>
      <c r="BR375" s="117"/>
      <c r="BS375" s="117"/>
      <c r="BT375" s="117"/>
      <c r="BU375" s="117"/>
      <c r="BV375" s="117"/>
      <c r="BW375" s="117"/>
      <c r="BX375" s="117"/>
      <c r="BY375" s="117"/>
      <c r="CA375" s="102"/>
      <c r="CC375" s="86"/>
      <c r="CE375" s="102"/>
      <c r="CJ375" s="86"/>
      <c r="CP375" s="63"/>
      <c r="CQ375" s="54"/>
      <c r="CX375" s="86"/>
      <c r="DM375" s="342"/>
      <c r="DO375" s="63"/>
      <c r="DP375" s="86"/>
      <c r="ED375" s="54"/>
      <c r="EF375" s="63"/>
      <c r="EG375" s="86"/>
      <c r="EP375" s="63"/>
      <c r="EQ375" s="54"/>
      <c r="ER375" s="86"/>
      <c r="FF375" s="54"/>
      <c r="FG375" s="86"/>
      <c r="FO375" s="45"/>
      <c r="FT375" s="86"/>
      <c r="FW375" s="63"/>
      <c r="FX375" s="54"/>
      <c r="GB375" s="86"/>
      <c r="GK375" s="45"/>
      <c r="GL375" s="54"/>
      <c r="GS375" s="86"/>
      <c r="HC375" s="63"/>
      <c r="HJ375" s="86"/>
      <c r="HT375" s="63"/>
      <c r="HZ375" s="54"/>
      <c r="IA375" s="86"/>
      <c r="IJ375" s="54"/>
      <c r="IK375" s="86"/>
    </row>
    <row r="376" spans="1:245">
      <c r="A376" s="86">
        <v>346</v>
      </c>
      <c r="B376" s="117"/>
      <c r="C376" s="117"/>
      <c r="D376" s="117"/>
      <c r="E376" s="117"/>
      <c r="K376" s="117"/>
      <c r="L376" s="117"/>
      <c r="M376" s="117"/>
      <c r="N376" s="117"/>
      <c r="O376" s="117"/>
      <c r="P376" s="117"/>
      <c r="Q376" s="117"/>
      <c r="R376" s="63"/>
      <c r="S376" s="117"/>
      <c r="T376" s="117"/>
      <c r="U376" s="117"/>
      <c r="V376" s="117"/>
      <c r="W376" s="117"/>
      <c r="X376" s="117"/>
      <c r="Y376" s="117"/>
      <c r="Z376" s="117"/>
      <c r="AA376" s="117"/>
      <c r="AB376" s="117"/>
      <c r="AC376" s="117"/>
      <c r="AD376" s="117"/>
      <c r="AE376" s="117"/>
      <c r="AF376" s="74"/>
      <c r="AG376" s="117"/>
      <c r="AH376" s="117"/>
      <c r="AI376" s="117"/>
      <c r="AJ376" s="117"/>
      <c r="AK376" s="117"/>
      <c r="AL376" s="117"/>
      <c r="AM376" s="117"/>
      <c r="AN376" s="117"/>
      <c r="AO376" s="117"/>
      <c r="AP376" s="117"/>
      <c r="AQ376" s="117"/>
      <c r="AR376" s="117"/>
      <c r="AS376" s="145"/>
      <c r="AU376" s="117"/>
      <c r="AV376" s="45"/>
      <c r="AY376" s="162"/>
      <c r="BF376" s="45"/>
      <c r="BG376" s="246"/>
      <c r="BI376" s="138"/>
      <c r="BJ376" s="54"/>
      <c r="BK376" s="74"/>
      <c r="BL376" s="117"/>
      <c r="BM376" s="117"/>
      <c r="BN376" s="117"/>
      <c r="BO376" s="117"/>
      <c r="BP376" s="117"/>
      <c r="BQ376" s="117"/>
      <c r="BR376" s="117"/>
      <c r="BS376" s="117"/>
      <c r="BT376" s="117"/>
      <c r="BU376" s="117"/>
      <c r="BV376" s="117"/>
      <c r="BW376" s="117"/>
      <c r="BX376" s="117"/>
      <c r="BY376" s="117"/>
      <c r="CA376" s="102"/>
      <c r="CC376" s="86"/>
      <c r="CE376" s="102"/>
      <c r="CJ376" s="86"/>
      <c r="CP376" s="63"/>
      <c r="CQ376" s="54"/>
      <c r="CX376" s="86"/>
      <c r="DM376" s="342"/>
      <c r="DO376" s="63"/>
      <c r="DP376" s="86"/>
      <c r="ED376" s="54"/>
      <c r="EF376" s="63"/>
      <c r="EG376" s="86"/>
      <c r="EP376" s="63"/>
      <c r="EQ376" s="54"/>
      <c r="ER376" s="86"/>
      <c r="FF376" s="54"/>
      <c r="FG376" s="86"/>
      <c r="FO376" s="45"/>
      <c r="FT376" s="86"/>
      <c r="FW376" s="63"/>
      <c r="FX376" s="54"/>
      <c r="GB376" s="86"/>
      <c r="GK376" s="45"/>
      <c r="GL376" s="54"/>
      <c r="GS376" s="86"/>
      <c r="HC376" s="63"/>
      <c r="HJ376" s="86"/>
      <c r="HT376" s="63"/>
      <c r="HZ376" s="54"/>
      <c r="IA376" s="86"/>
      <c r="IJ376" s="54"/>
      <c r="IK376" s="86"/>
    </row>
    <row r="377" spans="1:245">
      <c r="A377" s="86">
        <v>347</v>
      </c>
      <c r="B377" s="117"/>
      <c r="C377" s="117"/>
      <c r="D377" s="117"/>
      <c r="E377" s="117"/>
      <c r="K377" s="117"/>
      <c r="L377" s="117"/>
      <c r="M377" s="117"/>
      <c r="N377" s="117"/>
      <c r="O377" s="117"/>
      <c r="P377" s="117"/>
      <c r="Q377" s="117"/>
      <c r="R377" s="63"/>
      <c r="S377" s="117"/>
      <c r="T377" s="117"/>
      <c r="U377" s="117"/>
      <c r="V377" s="117"/>
      <c r="W377" s="117"/>
      <c r="X377" s="117"/>
      <c r="Y377" s="117"/>
      <c r="Z377" s="117"/>
      <c r="AA377" s="117"/>
      <c r="AB377" s="117"/>
      <c r="AC377" s="117"/>
      <c r="AD377" s="117"/>
      <c r="AE377" s="117"/>
      <c r="AF377" s="74"/>
      <c r="AG377" s="117"/>
      <c r="AH377" s="117"/>
      <c r="AI377" s="117"/>
      <c r="AJ377" s="117"/>
      <c r="AK377" s="117"/>
      <c r="AL377" s="117"/>
      <c r="AM377" s="117"/>
      <c r="AN377" s="117"/>
      <c r="AO377" s="117"/>
      <c r="AP377" s="117"/>
      <c r="AQ377" s="117"/>
      <c r="AR377" s="117"/>
      <c r="AS377" s="145"/>
      <c r="AU377" s="117"/>
      <c r="AV377" s="45"/>
      <c r="AY377" s="162"/>
      <c r="BF377" s="45"/>
      <c r="BG377" s="246"/>
      <c r="BI377" s="138"/>
      <c r="BJ377" s="54"/>
      <c r="BK377" s="74"/>
      <c r="BL377" s="117"/>
      <c r="BM377" s="117"/>
      <c r="BN377" s="117"/>
      <c r="BO377" s="117"/>
      <c r="BP377" s="117"/>
      <c r="BQ377" s="117"/>
      <c r="BR377" s="117"/>
      <c r="BS377" s="117"/>
      <c r="BT377" s="117"/>
      <c r="BU377" s="117"/>
      <c r="BV377" s="117"/>
      <c r="BW377" s="117"/>
      <c r="BX377" s="117"/>
      <c r="BY377" s="117"/>
      <c r="CA377" s="102"/>
      <c r="CC377" s="86"/>
      <c r="CE377" s="102"/>
      <c r="CJ377" s="86"/>
      <c r="CP377" s="63"/>
      <c r="CQ377" s="54"/>
      <c r="CX377" s="86"/>
      <c r="DM377" s="342"/>
      <c r="DO377" s="63"/>
      <c r="DP377" s="86"/>
      <c r="ED377" s="54"/>
      <c r="EF377" s="63"/>
      <c r="EG377" s="86"/>
      <c r="EP377" s="63"/>
      <c r="EQ377" s="54"/>
      <c r="ER377" s="86"/>
      <c r="FF377" s="54"/>
      <c r="FG377" s="86"/>
      <c r="FO377" s="45"/>
      <c r="FT377" s="86"/>
      <c r="FW377" s="63"/>
      <c r="FX377" s="54"/>
      <c r="GB377" s="86"/>
      <c r="GK377" s="45"/>
      <c r="GL377" s="54"/>
      <c r="GS377" s="86"/>
      <c r="HC377" s="63"/>
      <c r="HJ377" s="86"/>
      <c r="HT377" s="63"/>
      <c r="HZ377" s="54"/>
      <c r="IA377" s="86"/>
      <c r="IJ377" s="54"/>
      <c r="IK377" s="86"/>
    </row>
    <row r="378" spans="1:245">
      <c r="A378" s="86">
        <v>348</v>
      </c>
      <c r="B378" s="117"/>
      <c r="C378" s="117"/>
      <c r="D378" s="117"/>
      <c r="E378" s="117"/>
      <c r="K378" s="117"/>
      <c r="L378" s="117"/>
      <c r="M378" s="117"/>
      <c r="N378" s="117"/>
      <c r="O378" s="117"/>
      <c r="P378" s="117"/>
      <c r="Q378" s="117"/>
      <c r="R378" s="63"/>
      <c r="S378" s="117"/>
      <c r="T378" s="117"/>
      <c r="U378" s="117"/>
      <c r="V378" s="117"/>
      <c r="W378" s="117"/>
      <c r="X378" s="117"/>
      <c r="Y378" s="117"/>
      <c r="Z378" s="117"/>
      <c r="AA378" s="117"/>
      <c r="AB378" s="117"/>
      <c r="AC378" s="117"/>
      <c r="AD378" s="117"/>
      <c r="AE378" s="117"/>
      <c r="AF378" s="74"/>
      <c r="AG378" s="117"/>
      <c r="AH378" s="117"/>
      <c r="AI378" s="117"/>
      <c r="AJ378" s="117"/>
      <c r="AK378" s="117"/>
      <c r="AL378" s="117"/>
      <c r="AM378" s="117"/>
      <c r="AN378" s="117"/>
      <c r="AO378" s="117"/>
      <c r="AP378" s="117"/>
      <c r="AQ378" s="117"/>
      <c r="AR378" s="117"/>
      <c r="AS378" s="145"/>
      <c r="AU378" s="117"/>
      <c r="AV378" s="45"/>
      <c r="AY378" s="162"/>
      <c r="BF378" s="45"/>
      <c r="BG378" s="246"/>
      <c r="BI378" s="138"/>
      <c r="BJ378" s="54"/>
      <c r="BK378" s="74"/>
      <c r="BL378" s="117"/>
      <c r="BM378" s="117"/>
      <c r="BN378" s="117"/>
      <c r="BO378" s="117"/>
      <c r="BP378" s="117"/>
      <c r="BQ378" s="117"/>
      <c r="BR378" s="117"/>
      <c r="BS378" s="117"/>
      <c r="BT378" s="117"/>
      <c r="BU378" s="117"/>
      <c r="BV378" s="117"/>
      <c r="BW378" s="117"/>
      <c r="BX378" s="117"/>
      <c r="BY378" s="117"/>
      <c r="CA378" s="102"/>
      <c r="CC378" s="86"/>
      <c r="CE378" s="102"/>
      <c r="CJ378" s="86"/>
      <c r="CP378" s="63"/>
      <c r="CQ378" s="54"/>
      <c r="CX378" s="86"/>
      <c r="DM378" s="342"/>
      <c r="DO378" s="63"/>
      <c r="DP378" s="86"/>
      <c r="ED378" s="54"/>
      <c r="EF378" s="63"/>
      <c r="EG378" s="86"/>
      <c r="EP378" s="63"/>
      <c r="EQ378" s="54"/>
      <c r="ER378" s="86"/>
      <c r="FF378" s="54"/>
      <c r="FG378" s="86"/>
      <c r="FO378" s="45"/>
      <c r="FT378" s="86"/>
      <c r="FW378" s="63"/>
      <c r="FX378" s="54"/>
      <c r="GB378" s="86"/>
      <c r="GK378" s="45"/>
      <c r="GL378" s="54"/>
      <c r="GS378" s="86"/>
      <c r="HC378" s="63"/>
      <c r="HJ378" s="86"/>
      <c r="HT378" s="63"/>
      <c r="HZ378" s="54"/>
      <c r="IA378" s="86"/>
      <c r="IJ378" s="54"/>
      <c r="IK378" s="86"/>
    </row>
    <row r="379" spans="1:245">
      <c r="A379" s="86">
        <v>349</v>
      </c>
      <c r="B379" s="117"/>
      <c r="C379" s="117"/>
      <c r="D379" s="117"/>
      <c r="E379" s="117"/>
      <c r="K379" s="117"/>
      <c r="L379" s="117"/>
      <c r="M379" s="117"/>
      <c r="N379" s="117"/>
      <c r="O379" s="117"/>
      <c r="P379" s="117"/>
      <c r="Q379" s="117"/>
      <c r="R379" s="63"/>
      <c r="S379" s="117"/>
      <c r="T379" s="117"/>
      <c r="U379" s="117"/>
      <c r="V379" s="117"/>
      <c r="W379" s="117"/>
      <c r="X379" s="117"/>
      <c r="Y379" s="117"/>
      <c r="Z379" s="117"/>
      <c r="AA379" s="117"/>
      <c r="AB379" s="117"/>
      <c r="AC379" s="117"/>
      <c r="AD379" s="117"/>
      <c r="AE379" s="117"/>
      <c r="AF379" s="74"/>
      <c r="AG379" s="117"/>
      <c r="AH379" s="117"/>
      <c r="AI379" s="117"/>
      <c r="AJ379" s="117"/>
      <c r="AK379" s="117"/>
      <c r="AL379" s="117"/>
      <c r="AM379" s="117"/>
      <c r="AN379" s="117"/>
      <c r="AO379" s="117"/>
      <c r="AP379" s="117"/>
      <c r="AQ379" s="117"/>
      <c r="AR379" s="117"/>
      <c r="AS379" s="145"/>
      <c r="AU379" s="117"/>
      <c r="AV379" s="45"/>
      <c r="AY379" s="162"/>
      <c r="BF379" s="45"/>
      <c r="BG379" s="246"/>
      <c r="BI379" s="138"/>
      <c r="BJ379" s="54"/>
      <c r="BK379" s="74"/>
      <c r="BL379" s="117"/>
      <c r="BM379" s="117"/>
      <c r="BN379" s="117"/>
      <c r="BO379" s="117"/>
      <c r="BP379" s="117"/>
      <c r="BQ379" s="117"/>
      <c r="BR379" s="117"/>
      <c r="BS379" s="117"/>
      <c r="BT379" s="117"/>
      <c r="BU379" s="117"/>
      <c r="BV379" s="117"/>
      <c r="BW379" s="117"/>
      <c r="BX379" s="117"/>
      <c r="BY379" s="117"/>
      <c r="CA379" s="102"/>
      <c r="CC379" s="86"/>
      <c r="CE379" s="102"/>
      <c r="CJ379" s="86"/>
      <c r="CP379" s="63"/>
      <c r="CQ379" s="54"/>
      <c r="CX379" s="86"/>
      <c r="DM379" s="342"/>
      <c r="DO379" s="63"/>
      <c r="DP379" s="86"/>
      <c r="ED379" s="54"/>
      <c r="EF379" s="63"/>
      <c r="EG379" s="86"/>
      <c r="EP379" s="63"/>
      <c r="EQ379" s="54"/>
      <c r="ER379" s="86"/>
      <c r="FF379" s="54"/>
      <c r="FG379" s="86"/>
      <c r="FO379" s="45"/>
      <c r="FT379" s="86"/>
      <c r="FW379" s="63"/>
      <c r="FX379" s="54"/>
      <c r="GB379" s="86"/>
      <c r="GK379" s="45"/>
      <c r="GL379" s="54"/>
      <c r="GS379" s="86"/>
      <c r="HC379" s="63"/>
      <c r="HJ379" s="86"/>
      <c r="HT379" s="63"/>
      <c r="HZ379" s="54"/>
      <c r="IA379" s="86"/>
      <c r="IJ379" s="54"/>
      <c r="IK379" s="86"/>
    </row>
    <row r="380" spans="1:245">
      <c r="A380" s="86">
        <v>350</v>
      </c>
      <c r="B380" s="117"/>
      <c r="C380" s="117"/>
      <c r="D380" s="117"/>
      <c r="E380" s="117"/>
      <c r="K380" s="117"/>
      <c r="L380" s="117"/>
      <c r="M380" s="117"/>
      <c r="N380" s="117"/>
      <c r="O380" s="117"/>
      <c r="P380" s="117"/>
      <c r="Q380" s="117"/>
      <c r="R380" s="63"/>
      <c r="S380" s="117"/>
      <c r="T380" s="117"/>
      <c r="U380" s="117"/>
      <c r="V380" s="117"/>
      <c r="W380" s="117"/>
      <c r="X380" s="117"/>
      <c r="Y380" s="117"/>
      <c r="Z380" s="117"/>
      <c r="AA380" s="117"/>
      <c r="AB380" s="117"/>
      <c r="AC380" s="117"/>
      <c r="AD380" s="117"/>
      <c r="AE380" s="117"/>
      <c r="AF380" s="74"/>
      <c r="AG380" s="117"/>
      <c r="AH380" s="117"/>
      <c r="AI380" s="117"/>
      <c r="AJ380" s="117"/>
      <c r="AK380" s="117"/>
      <c r="AL380" s="117"/>
      <c r="AM380" s="117"/>
      <c r="AN380" s="117"/>
      <c r="AO380" s="117"/>
      <c r="AP380" s="117"/>
      <c r="AQ380" s="117"/>
      <c r="AR380" s="117"/>
      <c r="AS380" s="145"/>
      <c r="AU380" s="117"/>
      <c r="AV380" s="45"/>
      <c r="AY380" s="162"/>
      <c r="BF380" s="45"/>
      <c r="BG380" s="246"/>
      <c r="BI380" s="138"/>
      <c r="BJ380" s="54"/>
      <c r="BK380" s="74"/>
      <c r="BL380" s="117"/>
      <c r="BM380" s="117"/>
      <c r="BN380" s="117"/>
      <c r="BO380" s="117"/>
      <c r="BP380" s="117"/>
      <c r="BQ380" s="117"/>
      <c r="BR380" s="117"/>
      <c r="BS380" s="117"/>
      <c r="BT380" s="117"/>
      <c r="BU380" s="117"/>
      <c r="BV380" s="117"/>
      <c r="BW380" s="117"/>
      <c r="BX380" s="117"/>
      <c r="BY380" s="117"/>
      <c r="CA380" s="102"/>
      <c r="CC380" s="86"/>
      <c r="CE380" s="102"/>
      <c r="CJ380" s="86"/>
      <c r="CP380" s="63"/>
      <c r="CQ380" s="54"/>
      <c r="CX380" s="86"/>
      <c r="DM380" s="342"/>
      <c r="DO380" s="63"/>
      <c r="DP380" s="86"/>
      <c r="ED380" s="54"/>
      <c r="EF380" s="63"/>
      <c r="EG380" s="86"/>
      <c r="EP380" s="63"/>
      <c r="EQ380" s="54"/>
      <c r="ER380" s="86"/>
      <c r="FF380" s="54"/>
      <c r="FG380" s="86"/>
      <c r="FO380" s="45"/>
      <c r="FT380" s="86"/>
      <c r="FW380" s="63"/>
      <c r="FX380" s="54"/>
      <c r="GB380" s="86"/>
      <c r="GK380" s="45"/>
      <c r="GL380" s="54"/>
      <c r="GS380" s="86"/>
      <c r="HC380" s="63"/>
      <c r="HJ380" s="86"/>
      <c r="HT380" s="63"/>
      <c r="HZ380" s="54"/>
      <c r="IA380" s="86"/>
      <c r="IJ380" s="54"/>
      <c r="IK380" s="86"/>
    </row>
    <row r="381" spans="1:245">
      <c r="A381" s="86">
        <v>351</v>
      </c>
      <c r="B381" s="117"/>
      <c r="C381" s="117"/>
      <c r="D381" s="117"/>
      <c r="E381" s="117"/>
      <c r="K381" s="117"/>
      <c r="L381" s="117"/>
      <c r="M381" s="117"/>
      <c r="N381" s="117"/>
      <c r="O381" s="117"/>
      <c r="P381" s="117"/>
      <c r="Q381" s="117"/>
      <c r="R381" s="63"/>
      <c r="S381" s="117"/>
      <c r="T381" s="117"/>
      <c r="U381" s="117"/>
      <c r="V381" s="117"/>
      <c r="W381" s="117"/>
      <c r="X381" s="117"/>
      <c r="Y381" s="117"/>
      <c r="Z381" s="117"/>
      <c r="AA381" s="117"/>
      <c r="AB381" s="117"/>
      <c r="AC381" s="117"/>
      <c r="AD381" s="117"/>
      <c r="AE381" s="117"/>
      <c r="AF381" s="74"/>
      <c r="AG381" s="117"/>
      <c r="AH381" s="117"/>
      <c r="AI381" s="117"/>
      <c r="AJ381" s="117"/>
      <c r="AK381" s="117"/>
      <c r="AL381" s="117"/>
      <c r="AM381" s="117"/>
      <c r="AN381" s="117"/>
      <c r="AO381" s="117"/>
      <c r="AP381" s="117"/>
      <c r="AQ381" s="117"/>
      <c r="AR381" s="117"/>
      <c r="AS381" s="145"/>
      <c r="AU381" s="117"/>
      <c r="AV381" s="45"/>
      <c r="AY381" s="162"/>
      <c r="BF381" s="45"/>
      <c r="BG381" s="246"/>
      <c r="BI381" s="138"/>
      <c r="BJ381" s="54"/>
      <c r="BK381" s="74"/>
      <c r="BL381" s="117"/>
      <c r="BM381" s="117"/>
      <c r="BN381" s="117"/>
      <c r="BO381" s="117"/>
      <c r="BP381" s="117"/>
      <c r="BQ381" s="117"/>
      <c r="BR381" s="117"/>
      <c r="BS381" s="117"/>
      <c r="BT381" s="117"/>
      <c r="BU381" s="117"/>
      <c r="BV381" s="117"/>
      <c r="BW381" s="117"/>
      <c r="BX381" s="117"/>
      <c r="BY381" s="117"/>
      <c r="CA381" s="102"/>
      <c r="CC381" s="86"/>
      <c r="CE381" s="102"/>
      <c r="CJ381" s="86"/>
      <c r="CP381" s="63"/>
      <c r="CQ381" s="54"/>
      <c r="CX381" s="86"/>
      <c r="DM381" s="342"/>
      <c r="DO381" s="63"/>
      <c r="DP381" s="86"/>
      <c r="ED381" s="54"/>
      <c r="EF381" s="63"/>
      <c r="EG381" s="86"/>
      <c r="EP381" s="63"/>
      <c r="EQ381" s="54"/>
      <c r="ER381" s="86"/>
      <c r="FF381" s="54"/>
      <c r="FG381" s="86"/>
      <c r="FO381" s="45"/>
      <c r="FT381" s="86"/>
      <c r="FW381" s="63"/>
      <c r="FX381" s="54"/>
      <c r="GB381" s="86"/>
      <c r="GK381" s="45"/>
      <c r="GL381" s="54"/>
      <c r="GS381" s="86"/>
      <c r="HC381" s="63"/>
      <c r="HJ381" s="86"/>
      <c r="HT381" s="63"/>
      <c r="HZ381" s="54"/>
      <c r="IA381" s="86"/>
      <c r="IJ381" s="54"/>
      <c r="IK381" s="86"/>
    </row>
    <row r="382" spans="1:245">
      <c r="A382" s="86">
        <v>352</v>
      </c>
      <c r="B382" s="117"/>
      <c r="C382" s="117"/>
      <c r="D382" s="117"/>
      <c r="E382" s="117"/>
      <c r="K382" s="117"/>
      <c r="L382" s="117"/>
      <c r="M382" s="117"/>
      <c r="N382" s="117"/>
      <c r="O382" s="117"/>
      <c r="P382" s="117"/>
      <c r="Q382" s="117"/>
      <c r="R382" s="63"/>
      <c r="S382" s="117"/>
      <c r="T382" s="117"/>
      <c r="U382" s="117"/>
      <c r="V382" s="117"/>
      <c r="W382" s="117"/>
      <c r="X382" s="117"/>
      <c r="Y382" s="117"/>
      <c r="Z382" s="117"/>
      <c r="AA382" s="117"/>
      <c r="AB382" s="117"/>
      <c r="AC382" s="117"/>
      <c r="AD382" s="117"/>
      <c r="AE382" s="117"/>
      <c r="AF382" s="74"/>
      <c r="AG382" s="117"/>
      <c r="AH382" s="117"/>
      <c r="AI382" s="117"/>
      <c r="AJ382" s="117"/>
      <c r="AK382" s="117"/>
      <c r="AL382" s="117"/>
      <c r="AM382" s="117"/>
      <c r="AN382" s="117"/>
      <c r="AO382" s="117"/>
      <c r="AP382" s="117"/>
      <c r="AQ382" s="117"/>
      <c r="AR382" s="117"/>
      <c r="AS382" s="145"/>
      <c r="AU382" s="117"/>
      <c r="AV382" s="45"/>
      <c r="AY382" s="162"/>
      <c r="BF382" s="45"/>
      <c r="BG382" s="246"/>
      <c r="BI382" s="138"/>
      <c r="BJ382" s="54"/>
      <c r="BK382" s="74"/>
      <c r="BL382" s="117"/>
      <c r="BM382" s="117"/>
      <c r="BN382" s="117"/>
      <c r="BO382" s="117"/>
      <c r="BP382" s="117"/>
      <c r="BQ382" s="117"/>
      <c r="BR382" s="117"/>
      <c r="BS382" s="117"/>
      <c r="BT382" s="117"/>
      <c r="BU382" s="117"/>
      <c r="BV382" s="117"/>
      <c r="BW382" s="117"/>
      <c r="BX382" s="117"/>
      <c r="BY382" s="117"/>
      <c r="CA382" s="102"/>
      <c r="CC382" s="86"/>
      <c r="CE382" s="102"/>
      <c r="CJ382" s="86"/>
      <c r="CP382" s="63"/>
      <c r="CQ382" s="54"/>
      <c r="CX382" s="86"/>
      <c r="DM382" s="342"/>
      <c r="DO382" s="63"/>
      <c r="DP382" s="86"/>
      <c r="ED382" s="54"/>
      <c r="EF382" s="63"/>
      <c r="EG382" s="86"/>
      <c r="EP382" s="63"/>
      <c r="EQ382" s="54"/>
      <c r="ER382" s="86"/>
      <c r="FF382" s="54"/>
      <c r="FG382" s="86"/>
      <c r="FO382" s="45"/>
      <c r="FT382" s="86"/>
      <c r="FW382" s="63"/>
      <c r="FX382" s="54"/>
      <c r="GB382" s="86"/>
      <c r="GK382" s="45"/>
      <c r="GL382" s="54"/>
      <c r="GS382" s="86"/>
      <c r="HC382" s="63"/>
      <c r="HJ382" s="86"/>
      <c r="HT382" s="63"/>
      <c r="HZ382" s="54"/>
      <c r="IA382" s="86"/>
      <c r="IJ382" s="54"/>
      <c r="IK382" s="86"/>
    </row>
    <row r="383" spans="1:245">
      <c r="A383" s="86">
        <v>353</v>
      </c>
      <c r="B383" s="117"/>
      <c r="C383" s="117"/>
      <c r="D383" s="117"/>
      <c r="E383" s="117"/>
      <c r="K383" s="117"/>
      <c r="L383" s="117"/>
      <c r="M383" s="117"/>
      <c r="N383" s="117"/>
      <c r="O383" s="117"/>
      <c r="P383" s="117"/>
      <c r="Q383" s="117"/>
      <c r="R383" s="63"/>
      <c r="S383" s="117"/>
      <c r="T383" s="117"/>
      <c r="U383" s="117"/>
      <c r="V383" s="117"/>
      <c r="W383" s="117"/>
      <c r="X383" s="117"/>
      <c r="Y383" s="117"/>
      <c r="Z383" s="117"/>
      <c r="AA383" s="117"/>
      <c r="AB383" s="117"/>
      <c r="AC383" s="117"/>
      <c r="AD383" s="117"/>
      <c r="AE383" s="117"/>
      <c r="AF383" s="74"/>
      <c r="AG383" s="117"/>
      <c r="AH383" s="117"/>
      <c r="AI383" s="117"/>
      <c r="AJ383" s="117"/>
      <c r="AK383" s="117"/>
      <c r="AL383" s="117"/>
      <c r="AM383" s="117"/>
      <c r="AN383" s="117"/>
      <c r="AO383" s="117"/>
      <c r="AP383" s="117"/>
      <c r="AQ383" s="117"/>
      <c r="AR383" s="117"/>
      <c r="AS383" s="145"/>
      <c r="AU383" s="117"/>
      <c r="AV383" s="45"/>
      <c r="AY383" s="162"/>
      <c r="BF383" s="45"/>
      <c r="BG383" s="246"/>
      <c r="BI383" s="138"/>
      <c r="BJ383" s="54"/>
      <c r="BK383" s="74"/>
      <c r="BL383" s="117"/>
      <c r="BM383" s="117"/>
      <c r="BN383" s="117"/>
      <c r="BO383" s="117"/>
      <c r="BP383" s="117"/>
      <c r="BQ383" s="117"/>
      <c r="BR383" s="117"/>
      <c r="BS383" s="117"/>
      <c r="BT383" s="117"/>
      <c r="BU383" s="117"/>
      <c r="BV383" s="117"/>
      <c r="BW383" s="117"/>
      <c r="BX383" s="117"/>
      <c r="BY383" s="117"/>
      <c r="CA383" s="102"/>
      <c r="CC383" s="86"/>
      <c r="CE383" s="102"/>
      <c r="CJ383" s="86"/>
      <c r="CP383" s="63"/>
      <c r="CQ383" s="54"/>
      <c r="CX383" s="86"/>
      <c r="DM383" s="342"/>
      <c r="DO383" s="63"/>
      <c r="DP383" s="86"/>
      <c r="ED383" s="54"/>
      <c r="EF383" s="63"/>
      <c r="EG383" s="86"/>
      <c r="EP383" s="63"/>
      <c r="EQ383" s="54"/>
      <c r="ER383" s="86"/>
      <c r="FF383" s="54"/>
      <c r="FG383" s="86"/>
      <c r="FO383" s="45"/>
      <c r="FT383" s="86"/>
      <c r="FW383" s="63"/>
      <c r="FX383" s="54"/>
      <c r="GB383" s="86"/>
      <c r="GK383" s="45"/>
      <c r="GL383" s="54"/>
      <c r="GS383" s="86"/>
      <c r="HC383" s="63"/>
      <c r="HJ383" s="86"/>
      <c r="HT383" s="63"/>
      <c r="HZ383" s="54"/>
      <c r="IA383" s="86"/>
      <c r="IJ383" s="54"/>
      <c r="IK383" s="86"/>
    </row>
    <row r="384" spans="1:245">
      <c r="A384" s="86">
        <v>354</v>
      </c>
      <c r="B384" s="117"/>
      <c r="C384" s="117"/>
      <c r="D384" s="117"/>
      <c r="E384" s="117"/>
      <c r="K384" s="117"/>
      <c r="L384" s="117"/>
      <c r="M384" s="117"/>
      <c r="N384" s="117"/>
      <c r="O384" s="117"/>
      <c r="P384" s="117"/>
      <c r="Q384" s="117"/>
      <c r="R384" s="63"/>
      <c r="S384" s="117"/>
      <c r="T384" s="117"/>
      <c r="U384" s="117"/>
      <c r="V384" s="117"/>
      <c r="W384" s="117"/>
      <c r="X384" s="117"/>
      <c r="Y384" s="117"/>
      <c r="Z384" s="117"/>
      <c r="AA384" s="117"/>
      <c r="AB384" s="117"/>
      <c r="AC384" s="117"/>
      <c r="AD384" s="117"/>
      <c r="AE384" s="117"/>
      <c r="AF384" s="74"/>
      <c r="AG384" s="117"/>
      <c r="AH384" s="117"/>
      <c r="AI384" s="117"/>
      <c r="AJ384" s="117"/>
      <c r="AK384" s="117"/>
      <c r="AL384" s="117"/>
      <c r="AM384" s="117"/>
      <c r="AN384" s="117"/>
      <c r="AO384" s="117"/>
      <c r="AP384" s="117"/>
      <c r="AQ384" s="117"/>
      <c r="AR384" s="117"/>
      <c r="AS384" s="145"/>
      <c r="AU384" s="117"/>
      <c r="AV384" s="45"/>
      <c r="AY384" s="162"/>
      <c r="BF384" s="45"/>
      <c r="BG384" s="246"/>
      <c r="BI384" s="138"/>
      <c r="BJ384" s="54"/>
      <c r="BK384" s="74"/>
      <c r="BL384" s="117"/>
      <c r="BM384" s="117"/>
      <c r="BN384" s="117"/>
      <c r="BO384" s="117"/>
      <c r="BP384" s="117"/>
      <c r="BQ384" s="117"/>
      <c r="BR384" s="117"/>
      <c r="BS384" s="117"/>
      <c r="BT384" s="117"/>
      <c r="BU384" s="117"/>
      <c r="BV384" s="117"/>
      <c r="BW384" s="117"/>
      <c r="BX384" s="117"/>
      <c r="BY384" s="117"/>
      <c r="CA384" s="102"/>
      <c r="CC384" s="86"/>
      <c r="CE384" s="102"/>
      <c r="CJ384" s="86"/>
      <c r="CP384" s="63"/>
      <c r="CQ384" s="54"/>
      <c r="CX384" s="86"/>
      <c r="DM384" s="342"/>
      <c r="DO384" s="63"/>
      <c r="DP384" s="86"/>
      <c r="ED384" s="54"/>
      <c r="EF384" s="63"/>
      <c r="EG384" s="86"/>
      <c r="EP384" s="63"/>
      <c r="EQ384" s="54"/>
      <c r="ER384" s="86"/>
      <c r="FF384" s="54"/>
      <c r="FG384" s="86"/>
      <c r="FO384" s="45"/>
      <c r="FT384" s="86"/>
      <c r="FW384" s="63"/>
      <c r="FX384" s="54"/>
      <c r="GB384" s="86"/>
      <c r="GK384" s="45"/>
      <c r="GL384" s="54"/>
      <c r="GS384" s="86"/>
      <c r="HC384" s="63"/>
      <c r="HJ384" s="86"/>
      <c r="HT384" s="63"/>
      <c r="HZ384" s="54"/>
      <c r="IA384" s="86"/>
      <c r="IJ384" s="54"/>
      <c r="IK384" s="86"/>
    </row>
    <row r="385" spans="1:245">
      <c r="A385" s="86">
        <v>355</v>
      </c>
      <c r="B385" s="117"/>
      <c r="C385" s="117"/>
      <c r="D385" s="117"/>
      <c r="E385" s="117"/>
      <c r="K385" s="117"/>
      <c r="L385" s="117"/>
      <c r="M385" s="117"/>
      <c r="N385" s="117"/>
      <c r="O385" s="117"/>
      <c r="P385" s="117"/>
      <c r="Q385" s="117"/>
      <c r="R385" s="63"/>
      <c r="S385" s="117"/>
      <c r="T385" s="117"/>
      <c r="U385" s="117"/>
      <c r="V385" s="117"/>
      <c r="W385" s="117"/>
      <c r="X385" s="117"/>
      <c r="Y385" s="117"/>
      <c r="Z385" s="117"/>
      <c r="AA385" s="117"/>
      <c r="AB385" s="117"/>
      <c r="AC385" s="117"/>
      <c r="AD385" s="117"/>
      <c r="AE385" s="117"/>
      <c r="AF385" s="74"/>
      <c r="AG385" s="117"/>
      <c r="AH385" s="117"/>
      <c r="AI385" s="117"/>
      <c r="AJ385" s="117"/>
      <c r="AK385" s="117"/>
      <c r="AL385" s="117"/>
      <c r="AM385" s="117"/>
      <c r="AN385" s="117"/>
      <c r="AO385" s="117"/>
      <c r="AP385" s="117"/>
      <c r="AQ385" s="117"/>
      <c r="AR385" s="117"/>
      <c r="AS385" s="145"/>
      <c r="AU385" s="117"/>
      <c r="AV385" s="45"/>
      <c r="AY385" s="162"/>
      <c r="BF385" s="45"/>
      <c r="BG385" s="246"/>
      <c r="BI385" s="138"/>
      <c r="BJ385" s="54"/>
      <c r="BK385" s="74"/>
      <c r="BL385" s="117"/>
      <c r="BM385" s="117"/>
      <c r="BN385" s="117"/>
      <c r="BO385" s="117"/>
      <c r="BP385" s="117"/>
      <c r="BQ385" s="117"/>
      <c r="BR385" s="117"/>
      <c r="BS385" s="117"/>
      <c r="BT385" s="117"/>
      <c r="BU385" s="117"/>
      <c r="BV385" s="117"/>
      <c r="BW385" s="117"/>
      <c r="BX385" s="117"/>
      <c r="BY385" s="117"/>
      <c r="CA385" s="102"/>
      <c r="CC385" s="86"/>
      <c r="CE385" s="102"/>
      <c r="CJ385" s="86"/>
      <c r="CP385" s="63"/>
      <c r="CQ385" s="54"/>
      <c r="CX385" s="86"/>
      <c r="DM385" s="342"/>
      <c r="DO385" s="63"/>
      <c r="DP385" s="86"/>
      <c r="ED385" s="54"/>
      <c r="EF385" s="63"/>
      <c r="EG385" s="86"/>
      <c r="EP385" s="63"/>
      <c r="EQ385" s="54"/>
      <c r="ER385" s="86"/>
      <c r="FF385" s="54"/>
      <c r="FG385" s="86"/>
      <c r="FO385" s="45"/>
      <c r="FT385" s="86"/>
      <c r="FW385" s="63"/>
      <c r="FX385" s="54"/>
      <c r="GB385" s="86"/>
      <c r="GK385" s="45"/>
      <c r="GL385" s="54"/>
      <c r="GS385" s="86"/>
      <c r="HC385" s="63"/>
      <c r="HJ385" s="86"/>
      <c r="HT385" s="63"/>
      <c r="HZ385" s="54"/>
      <c r="IA385" s="86"/>
      <c r="IJ385" s="54"/>
      <c r="IK385" s="86"/>
    </row>
    <row r="386" spans="1:245">
      <c r="A386" s="86">
        <v>356</v>
      </c>
      <c r="B386" s="117"/>
      <c r="C386" s="117"/>
      <c r="D386" s="117"/>
      <c r="E386" s="117"/>
      <c r="K386" s="117"/>
      <c r="L386" s="117"/>
      <c r="M386" s="117"/>
      <c r="N386" s="117"/>
      <c r="O386" s="117"/>
      <c r="P386" s="117"/>
      <c r="Q386" s="117"/>
      <c r="R386" s="63"/>
      <c r="S386" s="117"/>
      <c r="T386" s="117"/>
      <c r="U386" s="117"/>
      <c r="V386" s="117"/>
      <c r="W386" s="117"/>
      <c r="X386" s="117"/>
      <c r="Y386" s="117"/>
      <c r="Z386" s="117"/>
      <c r="AA386" s="117"/>
      <c r="AB386" s="117"/>
      <c r="AC386" s="117"/>
      <c r="AD386" s="117"/>
      <c r="AE386" s="117"/>
      <c r="AF386" s="74"/>
      <c r="AG386" s="117"/>
      <c r="AH386" s="117"/>
      <c r="AI386" s="117"/>
      <c r="AJ386" s="117"/>
      <c r="AK386" s="117"/>
      <c r="AL386" s="117"/>
      <c r="AM386" s="117"/>
      <c r="AN386" s="117"/>
      <c r="AO386" s="117"/>
      <c r="AP386" s="117"/>
      <c r="AQ386" s="117"/>
      <c r="AR386" s="117"/>
      <c r="AS386" s="145"/>
      <c r="AU386" s="117"/>
      <c r="AV386" s="45"/>
      <c r="AY386" s="162"/>
      <c r="BF386" s="45"/>
      <c r="BG386" s="246"/>
      <c r="BI386" s="138"/>
      <c r="BJ386" s="54"/>
      <c r="BK386" s="74"/>
      <c r="BL386" s="117"/>
      <c r="BM386" s="117"/>
      <c r="BN386" s="117"/>
      <c r="BO386" s="117"/>
      <c r="BP386" s="117"/>
      <c r="BQ386" s="117"/>
      <c r="BR386" s="117"/>
      <c r="BS386" s="117"/>
      <c r="BT386" s="117"/>
      <c r="BU386" s="117"/>
      <c r="BV386" s="117"/>
      <c r="BW386" s="117"/>
      <c r="BX386" s="117"/>
      <c r="BY386" s="117"/>
      <c r="CA386" s="102"/>
      <c r="CC386" s="86"/>
      <c r="CE386" s="102"/>
      <c r="CJ386" s="86"/>
      <c r="CP386" s="63"/>
      <c r="CQ386" s="54"/>
      <c r="CX386" s="86"/>
      <c r="DM386" s="342"/>
      <c r="DO386" s="63"/>
      <c r="DP386" s="86"/>
      <c r="ED386" s="54"/>
      <c r="EF386" s="63"/>
      <c r="EG386" s="86"/>
      <c r="EP386" s="63"/>
      <c r="EQ386" s="54"/>
      <c r="ER386" s="86"/>
      <c r="FF386" s="54"/>
      <c r="FG386" s="86"/>
      <c r="FO386" s="45"/>
      <c r="FT386" s="86"/>
      <c r="FW386" s="63"/>
      <c r="FX386" s="54"/>
      <c r="GB386" s="86"/>
      <c r="GK386" s="45"/>
      <c r="GL386" s="54"/>
      <c r="GS386" s="86"/>
      <c r="HC386" s="63"/>
      <c r="HJ386" s="86"/>
      <c r="HT386" s="63"/>
      <c r="HZ386" s="54"/>
      <c r="IA386" s="86"/>
      <c r="IJ386" s="54"/>
      <c r="IK386" s="86"/>
    </row>
    <row r="387" spans="1:245">
      <c r="A387" s="86">
        <v>357</v>
      </c>
      <c r="B387" s="117"/>
      <c r="C387" s="117"/>
      <c r="D387" s="117"/>
      <c r="E387" s="117"/>
      <c r="K387" s="117"/>
      <c r="L387" s="117"/>
      <c r="M387" s="117"/>
      <c r="N387" s="117"/>
      <c r="O387" s="117"/>
      <c r="P387" s="117"/>
      <c r="Q387" s="117"/>
      <c r="R387" s="63"/>
      <c r="S387" s="117"/>
      <c r="T387" s="117"/>
      <c r="U387" s="117"/>
      <c r="V387" s="117"/>
      <c r="W387" s="117"/>
      <c r="X387" s="117"/>
      <c r="Y387" s="117"/>
      <c r="Z387" s="117"/>
      <c r="AA387" s="117"/>
      <c r="AB387" s="117"/>
      <c r="AC387" s="117"/>
      <c r="AD387" s="117"/>
      <c r="AE387" s="117"/>
      <c r="AF387" s="74"/>
      <c r="AG387" s="117"/>
      <c r="AH387" s="117"/>
      <c r="AI387" s="117"/>
      <c r="AJ387" s="117"/>
      <c r="AK387" s="117"/>
      <c r="AL387" s="117"/>
      <c r="AM387" s="117"/>
      <c r="AN387" s="117"/>
      <c r="AO387" s="117"/>
      <c r="AP387" s="117"/>
      <c r="AQ387" s="117"/>
      <c r="AR387" s="117"/>
      <c r="AS387" s="145"/>
      <c r="AU387" s="117"/>
      <c r="AV387" s="45"/>
      <c r="AY387" s="162"/>
      <c r="BF387" s="45"/>
      <c r="BG387" s="246"/>
      <c r="BI387" s="138"/>
      <c r="BJ387" s="54"/>
      <c r="BK387" s="74"/>
      <c r="BL387" s="117"/>
      <c r="BM387" s="117"/>
      <c r="BN387" s="117"/>
      <c r="BO387" s="117"/>
      <c r="BP387" s="117"/>
      <c r="BQ387" s="117"/>
      <c r="BR387" s="117"/>
      <c r="BS387" s="117"/>
      <c r="BT387" s="117"/>
      <c r="BU387" s="117"/>
      <c r="BV387" s="117"/>
      <c r="BW387" s="117"/>
      <c r="BX387" s="117"/>
      <c r="BY387" s="117"/>
      <c r="CA387" s="102"/>
      <c r="CC387" s="86"/>
      <c r="CE387" s="102"/>
      <c r="CJ387" s="86"/>
      <c r="CP387" s="63"/>
      <c r="CQ387" s="54"/>
      <c r="CX387" s="86"/>
      <c r="DM387" s="342"/>
      <c r="DO387" s="63"/>
      <c r="DP387" s="86"/>
      <c r="ED387" s="54"/>
      <c r="EF387" s="63"/>
      <c r="EG387" s="86"/>
      <c r="EP387" s="63"/>
      <c r="EQ387" s="54"/>
      <c r="ER387" s="86"/>
      <c r="FF387" s="54"/>
      <c r="FG387" s="86"/>
      <c r="FO387" s="45"/>
      <c r="FT387" s="86"/>
      <c r="FW387" s="63"/>
      <c r="FX387" s="54"/>
      <c r="GB387" s="86"/>
      <c r="GK387" s="45"/>
      <c r="GL387" s="54"/>
      <c r="GS387" s="86"/>
      <c r="HC387" s="63"/>
      <c r="HJ387" s="86"/>
      <c r="HT387" s="63"/>
      <c r="HZ387" s="54"/>
      <c r="IA387" s="86"/>
      <c r="IJ387" s="54"/>
      <c r="IK387" s="86"/>
    </row>
    <row r="388" spans="1:245">
      <c r="A388" s="86">
        <v>358</v>
      </c>
      <c r="B388" s="117"/>
      <c r="C388" s="117"/>
      <c r="D388" s="117"/>
      <c r="E388" s="117"/>
      <c r="K388" s="117"/>
      <c r="L388" s="117"/>
      <c r="M388" s="117"/>
      <c r="N388" s="117"/>
      <c r="O388" s="117"/>
      <c r="P388" s="117"/>
      <c r="Q388" s="117"/>
      <c r="R388" s="63"/>
      <c r="S388" s="117"/>
      <c r="T388" s="117"/>
      <c r="U388" s="117"/>
      <c r="V388" s="117"/>
      <c r="W388" s="117"/>
      <c r="X388" s="117"/>
      <c r="Y388" s="117"/>
      <c r="Z388" s="117"/>
      <c r="AA388" s="117"/>
      <c r="AB388" s="117"/>
      <c r="AC388" s="117"/>
      <c r="AD388" s="117"/>
      <c r="AE388" s="117"/>
      <c r="AF388" s="74"/>
      <c r="AG388" s="117"/>
      <c r="AH388" s="117"/>
      <c r="AI388" s="117"/>
      <c r="AJ388" s="117"/>
      <c r="AK388" s="117"/>
      <c r="AL388" s="117"/>
      <c r="AM388" s="117"/>
      <c r="AN388" s="117"/>
      <c r="AO388" s="117"/>
      <c r="AP388" s="117"/>
      <c r="AQ388" s="117"/>
      <c r="AR388" s="117"/>
      <c r="AS388" s="145"/>
      <c r="AU388" s="117"/>
      <c r="AV388" s="45"/>
      <c r="AY388" s="162"/>
      <c r="BF388" s="45"/>
      <c r="BG388" s="246"/>
      <c r="BI388" s="138"/>
      <c r="BJ388" s="54"/>
      <c r="BK388" s="74"/>
      <c r="BL388" s="117"/>
      <c r="BM388" s="117"/>
      <c r="BN388" s="117"/>
      <c r="BO388" s="117"/>
      <c r="BP388" s="117"/>
      <c r="BQ388" s="117"/>
      <c r="BR388" s="117"/>
      <c r="BS388" s="117"/>
      <c r="BT388" s="117"/>
      <c r="BU388" s="117"/>
      <c r="BV388" s="117"/>
      <c r="BW388" s="117"/>
      <c r="BX388" s="117"/>
      <c r="BY388" s="117"/>
      <c r="CA388" s="102"/>
      <c r="CC388" s="86"/>
      <c r="CE388" s="102"/>
      <c r="CJ388" s="86"/>
      <c r="CP388" s="63"/>
      <c r="CQ388" s="54"/>
      <c r="CX388" s="86"/>
      <c r="DM388" s="342"/>
      <c r="DO388" s="63"/>
      <c r="DP388" s="86"/>
      <c r="ED388" s="54"/>
      <c r="EF388" s="63"/>
      <c r="EG388" s="86"/>
      <c r="EP388" s="63"/>
      <c r="EQ388" s="54"/>
      <c r="ER388" s="86"/>
      <c r="FF388" s="54"/>
      <c r="FG388" s="86"/>
      <c r="FO388" s="45"/>
      <c r="FT388" s="86"/>
      <c r="FW388" s="63"/>
      <c r="FX388" s="54"/>
      <c r="GB388" s="86"/>
      <c r="GK388" s="45"/>
      <c r="GL388" s="54"/>
      <c r="GS388" s="86"/>
      <c r="HC388" s="63"/>
      <c r="HJ388" s="86"/>
      <c r="HT388" s="63"/>
      <c r="HZ388" s="54"/>
      <c r="IA388" s="86"/>
      <c r="IJ388" s="54"/>
      <c r="IK388" s="86"/>
    </row>
    <row r="389" spans="1:245">
      <c r="A389" s="86">
        <v>359</v>
      </c>
      <c r="B389" s="117"/>
      <c r="C389" s="117"/>
      <c r="D389" s="117"/>
      <c r="E389" s="117"/>
      <c r="K389" s="117"/>
      <c r="L389" s="117"/>
      <c r="M389" s="117"/>
      <c r="N389" s="117"/>
      <c r="O389" s="117"/>
      <c r="P389" s="117"/>
      <c r="Q389" s="117"/>
      <c r="R389" s="63"/>
      <c r="S389" s="117"/>
      <c r="T389" s="117"/>
      <c r="U389" s="117"/>
      <c r="V389" s="117"/>
      <c r="W389" s="117"/>
      <c r="X389" s="117"/>
      <c r="Y389" s="117"/>
      <c r="Z389" s="117"/>
      <c r="AA389" s="117"/>
      <c r="AB389" s="117"/>
      <c r="AC389" s="117"/>
      <c r="AD389" s="117"/>
      <c r="AE389" s="117"/>
      <c r="AF389" s="74"/>
      <c r="AG389" s="117"/>
      <c r="AH389" s="117"/>
      <c r="AI389" s="117"/>
      <c r="AJ389" s="117"/>
      <c r="AK389" s="117"/>
      <c r="AL389" s="117"/>
      <c r="AM389" s="117"/>
      <c r="AN389" s="117"/>
      <c r="AO389" s="117"/>
      <c r="AP389" s="117"/>
      <c r="AQ389" s="117"/>
      <c r="AR389" s="117"/>
      <c r="AS389" s="145"/>
      <c r="AU389" s="117"/>
      <c r="AV389" s="45"/>
      <c r="AY389" s="162"/>
      <c r="BF389" s="45"/>
      <c r="BG389" s="246"/>
      <c r="BI389" s="138"/>
      <c r="BJ389" s="54"/>
      <c r="BK389" s="74"/>
      <c r="BL389" s="117"/>
      <c r="BM389" s="117"/>
      <c r="BN389" s="117"/>
      <c r="BO389" s="117"/>
      <c r="BP389" s="117"/>
      <c r="BQ389" s="117"/>
      <c r="BR389" s="117"/>
      <c r="BS389" s="117"/>
      <c r="BT389" s="117"/>
      <c r="BU389" s="117"/>
      <c r="BV389" s="117"/>
      <c r="BW389" s="117"/>
      <c r="BX389" s="117"/>
      <c r="BY389" s="117"/>
      <c r="CA389" s="102"/>
      <c r="CC389" s="86"/>
      <c r="CE389" s="102"/>
      <c r="CJ389" s="86"/>
      <c r="CP389" s="63"/>
      <c r="CQ389" s="54"/>
      <c r="CX389" s="86"/>
      <c r="DM389" s="342"/>
      <c r="DO389" s="63"/>
      <c r="DP389" s="86"/>
      <c r="ED389" s="54"/>
      <c r="EF389" s="63"/>
      <c r="EG389" s="86"/>
      <c r="EP389" s="63"/>
      <c r="EQ389" s="54"/>
      <c r="ER389" s="86"/>
      <c r="FF389" s="54"/>
      <c r="FG389" s="86"/>
      <c r="FO389" s="45"/>
      <c r="FT389" s="86"/>
      <c r="FW389" s="63"/>
      <c r="FX389" s="54"/>
      <c r="GB389" s="86"/>
      <c r="GK389" s="45"/>
      <c r="GL389" s="54"/>
      <c r="GS389" s="86"/>
      <c r="HC389" s="63"/>
      <c r="HJ389" s="86"/>
      <c r="HT389" s="63"/>
      <c r="HZ389" s="54"/>
      <c r="IA389" s="86"/>
      <c r="IJ389" s="54"/>
      <c r="IK389" s="86"/>
    </row>
    <row r="390" spans="1:245">
      <c r="A390" s="86">
        <v>360</v>
      </c>
      <c r="B390" s="117"/>
      <c r="C390" s="117"/>
      <c r="D390" s="117"/>
      <c r="E390" s="117"/>
      <c r="K390" s="117"/>
      <c r="L390" s="117"/>
      <c r="M390" s="117"/>
      <c r="N390" s="117"/>
      <c r="O390" s="117"/>
      <c r="P390" s="117"/>
      <c r="Q390" s="117"/>
      <c r="R390" s="63"/>
      <c r="S390" s="117"/>
      <c r="T390" s="117"/>
      <c r="U390" s="117"/>
      <c r="V390" s="117"/>
      <c r="W390" s="117"/>
      <c r="X390" s="117"/>
      <c r="Y390" s="117"/>
      <c r="Z390" s="117"/>
      <c r="AA390" s="117"/>
      <c r="AB390" s="117"/>
      <c r="AC390" s="117"/>
      <c r="AD390" s="117"/>
      <c r="AE390" s="117"/>
      <c r="AF390" s="74"/>
      <c r="AG390" s="117"/>
      <c r="AH390" s="117"/>
      <c r="AI390" s="117"/>
      <c r="AJ390" s="117"/>
      <c r="AK390" s="117"/>
      <c r="AL390" s="117"/>
      <c r="AM390" s="117"/>
      <c r="AN390" s="117"/>
      <c r="AO390" s="117"/>
      <c r="AP390" s="117"/>
      <c r="AQ390" s="117"/>
      <c r="AR390" s="117"/>
      <c r="AS390" s="145"/>
      <c r="AU390" s="117"/>
      <c r="AV390" s="45"/>
      <c r="AY390" s="162"/>
      <c r="BF390" s="45"/>
      <c r="BG390" s="246"/>
      <c r="BI390" s="138"/>
      <c r="BJ390" s="54"/>
      <c r="BK390" s="74"/>
      <c r="BL390" s="117"/>
      <c r="BM390" s="117"/>
      <c r="BN390" s="117"/>
      <c r="BO390" s="117"/>
      <c r="BP390" s="117"/>
      <c r="BQ390" s="117"/>
      <c r="BR390" s="117"/>
      <c r="BS390" s="117"/>
      <c r="BT390" s="117"/>
      <c r="BU390" s="117"/>
      <c r="BV390" s="117"/>
      <c r="BW390" s="117"/>
      <c r="BX390" s="117"/>
      <c r="BY390" s="117"/>
      <c r="CA390" s="102"/>
      <c r="CC390" s="86"/>
      <c r="CE390" s="102"/>
      <c r="CJ390" s="86"/>
      <c r="CP390" s="63"/>
      <c r="CQ390" s="54"/>
      <c r="CX390" s="86"/>
      <c r="DM390" s="342"/>
      <c r="DO390" s="63"/>
      <c r="DP390" s="86"/>
      <c r="ED390" s="54"/>
      <c r="EF390" s="63"/>
      <c r="EG390" s="86"/>
      <c r="EP390" s="63"/>
      <c r="EQ390" s="54"/>
      <c r="ER390" s="86"/>
      <c r="FF390" s="54"/>
      <c r="FG390" s="86"/>
      <c r="FO390" s="45"/>
      <c r="FT390" s="86"/>
      <c r="FW390" s="63"/>
      <c r="FX390" s="54"/>
      <c r="GB390" s="86"/>
      <c r="GK390" s="45"/>
      <c r="GL390" s="54"/>
      <c r="GS390" s="86"/>
      <c r="HC390" s="63"/>
      <c r="HJ390" s="86"/>
      <c r="HT390" s="63"/>
      <c r="HZ390" s="54"/>
      <c r="IA390" s="86"/>
      <c r="IJ390" s="54"/>
      <c r="IK390" s="86"/>
    </row>
    <row r="391" spans="1:245">
      <c r="A391" s="86">
        <v>361</v>
      </c>
      <c r="B391" s="117"/>
      <c r="C391" s="117"/>
      <c r="D391" s="117"/>
      <c r="E391" s="117"/>
      <c r="K391" s="117"/>
      <c r="L391" s="117"/>
      <c r="M391" s="117"/>
      <c r="N391" s="117"/>
      <c r="O391" s="117"/>
      <c r="P391" s="117"/>
      <c r="Q391" s="117"/>
      <c r="R391" s="63"/>
      <c r="S391" s="117"/>
      <c r="T391" s="117"/>
      <c r="U391" s="117"/>
      <c r="V391" s="117"/>
      <c r="W391" s="117"/>
      <c r="X391" s="117"/>
      <c r="Y391" s="117"/>
      <c r="Z391" s="117"/>
      <c r="AA391" s="117"/>
      <c r="AB391" s="117"/>
      <c r="AC391" s="117"/>
      <c r="AD391" s="117"/>
      <c r="AE391" s="117"/>
      <c r="AF391" s="74"/>
      <c r="AG391" s="117"/>
      <c r="AH391" s="117"/>
      <c r="AI391" s="117"/>
      <c r="AJ391" s="117"/>
      <c r="AK391" s="117"/>
      <c r="AL391" s="117"/>
      <c r="AM391" s="117"/>
      <c r="AN391" s="117"/>
      <c r="AO391" s="117"/>
      <c r="AP391" s="117"/>
      <c r="AQ391" s="117"/>
      <c r="AR391" s="117"/>
      <c r="AS391" s="145"/>
      <c r="AU391" s="117"/>
      <c r="AV391" s="45"/>
      <c r="AY391" s="162"/>
      <c r="BF391" s="45"/>
      <c r="BG391" s="246"/>
      <c r="BI391" s="138"/>
      <c r="BJ391" s="54"/>
      <c r="BK391" s="74"/>
      <c r="BL391" s="117"/>
      <c r="BM391" s="117"/>
      <c r="BN391" s="117"/>
      <c r="BO391" s="117"/>
      <c r="BP391" s="117"/>
      <c r="BQ391" s="117"/>
      <c r="BR391" s="117"/>
      <c r="BS391" s="117"/>
      <c r="BT391" s="117"/>
      <c r="BU391" s="117"/>
      <c r="BV391" s="117"/>
      <c r="BW391" s="117"/>
      <c r="BX391" s="117"/>
      <c r="BY391" s="117"/>
      <c r="CA391" s="102"/>
      <c r="CC391" s="86"/>
      <c r="CE391" s="102"/>
      <c r="CJ391" s="86"/>
      <c r="CP391" s="63"/>
      <c r="CQ391" s="54"/>
      <c r="CX391" s="86"/>
      <c r="DM391" s="342"/>
      <c r="DO391" s="63"/>
      <c r="DP391" s="86"/>
      <c r="ED391" s="54"/>
      <c r="EF391" s="63"/>
      <c r="EG391" s="86"/>
      <c r="EP391" s="63"/>
      <c r="EQ391" s="54"/>
      <c r="ER391" s="86"/>
      <c r="FF391" s="54"/>
      <c r="FG391" s="86"/>
      <c r="FO391" s="45"/>
      <c r="FT391" s="86"/>
      <c r="FW391" s="63"/>
      <c r="FX391" s="54"/>
      <c r="GB391" s="86"/>
      <c r="GK391" s="45"/>
      <c r="GL391" s="54"/>
      <c r="GS391" s="86"/>
      <c r="HC391" s="63"/>
      <c r="HJ391" s="86"/>
      <c r="HT391" s="63"/>
      <c r="HZ391" s="54"/>
      <c r="IA391" s="86"/>
      <c r="IJ391" s="54"/>
      <c r="IK391" s="86"/>
    </row>
    <row r="392" spans="1:245">
      <c r="A392" s="86">
        <v>362</v>
      </c>
      <c r="B392" s="117"/>
      <c r="C392" s="117"/>
      <c r="D392" s="117"/>
      <c r="E392" s="117"/>
      <c r="K392" s="117"/>
      <c r="L392" s="117"/>
      <c r="M392" s="117"/>
      <c r="N392" s="117"/>
      <c r="O392" s="117"/>
      <c r="P392" s="117"/>
      <c r="Q392" s="117"/>
      <c r="R392" s="63"/>
      <c r="S392" s="117"/>
      <c r="T392" s="117"/>
      <c r="U392" s="117"/>
      <c r="V392" s="117"/>
      <c r="W392" s="117"/>
      <c r="X392" s="117"/>
      <c r="Y392" s="117"/>
      <c r="Z392" s="117"/>
      <c r="AA392" s="117"/>
      <c r="AB392" s="117"/>
      <c r="AC392" s="117"/>
      <c r="AD392" s="117"/>
      <c r="AE392" s="117"/>
      <c r="AF392" s="74"/>
      <c r="AG392" s="117"/>
      <c r="AH392" s="117"/>
      <c r="AI392" s="117"/>
      <c r="AJ392" s="117"/>
      <c r="AK392" s="117"/>
      <c r="AL392" s="117"/>
      <c r="AM392" s="117"/>
      <c r="AN392" s="117"/>
      <c r="AO392" s="117"/>
      <c r="AP392" s="117"/>
      <c r="AQ392" s="117"/>
      <c r="AR392" s="117"/>
      <c r="AS392" s="145"/>
      <c r="AU392" s="117"/>
      <c r="AV392" s="45"/>
      <c r="AY392" s="162"/>
      <c r="BF392" s="45"/>
      <c r="BG392" s="246"/>
      <c r="BI392" s="138"/>
      <c r="BJ392" s="54"/>
      <c r="BK392" s="74"/>
      <c r="BL392" s="117"/>
      <c r="BM392" s="117"/>
      <c r="BN392" s="117"/>
      <c r="BO392" s="117"/>
      <c r="BP392" s="117"/>
      <c r="BQ392" s="117"/>
      <c r="BR392" s="117"/>
      <c r="BS392" s="117"/>
      <c r="BT392" s="117"/>
      <c r="BU392" s="117"/>
      <c r="BV392" s="117"/>
      <c r="BW392" s="117"/>
      <c r="BX392" s="117"/>
      <c r="BY392" s="117"/>
      <c r="CA392" s="102"/>
      <c r="CC392" s="86"/>
      <c r="CE392" s="102"/>
      <c r="CJ392" s="86"/>
      <c r="CP392" s="63"/>
      <c r="CQ392" s="54"/>
      <c r="CX392" s="86"/>
      <c r="DM392" s="342"/>
      <c r="DO392" s="63"/>
      <c r="DP392" s="86"/>
      <c r="ED392" s="54"/>
      <c r="EF392" s="63"/>
      <c r="EG392" s="86"/>
      <c r="EP392" s="63"/>
      <c r="EQ392" s="54"/>
      <c r="ER392" s="86"/>
      <c r="FF392" s="54"/>
      <c r="FG392" s="86"/>
      <c r="FO392" s="45"/>
      <c r="FT392" s="86"/>
      <c r="FW392" s="63"/>
      <c r="FX392" s="54"/>
      <c r="GB392" s="86"/>
      <c r="GK392" s="45"/>
      <c r="GL392" s="54"/>
      <c r="GS392" s="86"/>
      <c r="HC392" s="63"/>
      <c r="HJ392" s="86"/>
      <c r="HT392" s="63"/>
      <c r="HZ392" s="54"/>
      <c r="IA392" s="86"/>
      <c r="IJ392" s="54"/>
      <c r="IK392" s="86"/>
    </row>
    <row r="393" spans="1:245">
      <c r="A393" s="86">
        <v>363</v>
      </c>
      <c r="B393" s="117"/>
      <c r="C393" s="117"/>
      <c r="D393" s="117"/>
      <c r="E393" s="117"/>
      <c r="K393" s="117"/>
      <c r="L393" s="117"/>
      <c r="M393" s="117"/>
      <c r="N393" s="117"/>
      <c r="O393" s="117"/>
      <c r="P393" s="117"/>
      <c r="Q393" s="117"/>
      <c r="R393" s="63"/>
      <c r="S393" s="117"/>
      <c r="T393" s="117"/>
      <c r="U393" s="117"/>
      <c r="V393" s="117"/>
      <c r="W393" s="117"/>
      <c r="X393" s="117"/>
      <c r="Y393" s="117"/>
      <c r="Z393" s="117"/>
      <c r="AA393" s="117"/>
      <c r="AB393" s="117"/>
      <c r="AC393" s="117"/>
      <c r="AD393" s="117"/>
      <c r="AE393" s="117"/>
      <c r="AF393" s="74"/>
      <c r="AG393" s="117"/>
      <c r="AH393" s="117"/>
      <c r="AI393" s="117"/>
      <c r="AJ393" s="117"/>
      <c r="AK393" s="117"/>
      <c r="AL393" s="117"/>
      <c r="AM393" s="117"/>
      <c r="AN393" s="117"/>
      <c r="AO393" s="117"/>
      <c r="AP393" s="117"/>
      <c r="AQ393" s="117"/>
      <c r="AR393" s="117"/>
      <c r="AS393" s="145"/>
      <c r="AU393" s="117"/>
      <c r="AV393" s="45"/>
      <c r="AY393" s="162"/>
      <c r="BF393" s="45"/>
      <c r="BG393" s="246"/>
      <c r="BI393" s="138"/>
      <c r="BJ393" s="54"/>
      <c r="BK393" s="74"/>
      <c r="BL393" s="117"/>
      <c r="BM393" s="117"/>
      <c r="BN393" s="117"/>
      <c r="BO393" s="117"/>
      <c r="BP393" s="117"/>
      <c r="BQ393" s="117"/>
      <c r="BR393" s="117"/>
      <c r="BS393" s="117"/>
      <c r="BT393" s="117"/>
      <c r="BU393" s="117"/>
      <c r="BV393" s="117"/>
      <c r="BW393" s="117"/>
      <c r="BX393" s="117"/>
      <c r="BY393" s="117"/>
      <c r="CA393" s="102"/>
      <c r="CC393" s="86"/>
      <c r="CE393" s="102"/>
      <c r="CJ393" s="86"/>
      <c r="CP393" s="63"/>
      <c r="CQ393" s="54"/>
      <c r="CX393" s="86"/>
      <c r="DM393" s="342"/>
      <c r="DO393" s="63"/>
      <c r="DP393" s="86"/>
      <c r="ED393" s="54"/>
      <c r="EF393" s="63"/>
      <c r="EG393" s="86"/>
      <c r="EP393" s="63"/>
      <c r="EQ393" s="54"/>
      <c r="ER393" s="86"/>
      <c r="FF393" s="54"/>
      <c r="FG393" s="86"/>
      <c r="FO393" s="45"/>
      <c r="FT393" s="86"/>
      <c r="FW393" s="63"/>
      <c r="FX393" s="54"/>
      <c r="GB393" s="86"/>
      <c r="GK393" s="45"/>
      <c r="GL393" s="54"/>
      <c r="GS393" s="86"/>
      <c r="HC393" s="63"/>
      <c r="HJ393" s="86"/>
      <c r="HT393" s="63"/>
      <c r="HZ393" s="54"/>
      <c r="IA393" s="86"/>
      <c r="IJ393" s="54"/>
      <c r="IK393" s="86"/>
    </row>
    <row r="394" spans="1:245">
      <c r="A394" s="86">
        <v>364</v>
      </c>
      <c r="B394" s="117"/>
      <c r="C394" s="117"/>
      <c r="D394" s="117"/>
      <c r="E394" s="117"/>
      <c r="K394" s="117"/>
      <c r="L394" s="117"/>
      <c r="M394" s="117"/>
      <c r="N394" s="117"/>
      <c r="O394" s="117"/>
      <c r="P394" s="117"/>
      <c r="Q394" s="117"/>
      <c r="R394" s="63"/>
      <c r="S394" s="117"/>
      <c r="T394" s="117"/>
      <c r="U394" s="117"/>
      <c r="V394" s="117"/>
      <c r="W394" s="117"/>
      <c r="X394" s="117"/>
      <c r="Y394" s="117"/>
      <c r="Z394" s="117"/>
      <c r="AA394" s="117"/>
      <c r="AB394" s="117"/>
      <c r="AC394" s="117"/>
      <c r="AD394" s="117"/>
      <c r="AE394" s="117"/>
      <c r="AF394" s="74"/>
      <c r="AG394" s="117"/>
      <c r="AH394" s="117"/>
      <c r="AI394" s="117"/>
      <c r="AJ394" s="117"/>
      <c r="AK394" s="117"/>
      <c r="AL394" s="117"/>
      <c r="AM394" s="117"/>
      <c r="AN394" s="117"/>
      <c r="AO394" s="117"/>
      <c r="AP394" s="117"/>
      <c r="AQ394" s="117"/>
      <c r="AR394" s="117"/>
      <c r="AS394" s="145"/>
      <c r="AU394" s="117"/>
      <c r="AV394" s="45"/>
      <c r="AY394" s="162"/>
      <c r="BF394" s="45"/>
      <c r="BG394" s="246"/>
      <c r="BI394" s="138"/>
      <c r="BJ394" s="54"/>
      <c r="BK394" s="74"/>
      <c r="BL394" s="117"/>
      <c r="BM394" s="117"/>
      <c r="BN394" s="117"/>
      <c r="BO394" s="117"/>
      <c r="BP394" s="117"/>
      <c r="BQ394" s="117"/>
      <c r="BR394" s="117"/>
      <c r="BS394" s="117"/>
      <c r="BT394" s="117"/>
      <c r="BU394" s="117"/>
      <c r="BV394" s="117"/>
      <c r="BW394" s="117"/>
      <c r="BX394" s="117"/>
      <c r="BY394" s="117"/>
      <c r="CA394" s="102"/>
      <c r="CC394" s="86"/>
      <c r="CE394" s="102"/>
      <c r="CJ394" s="86"/>
      <c r="CP394" s="63"/>
      <c r="CQ394" s="54"/>
      <c r="CX394" s="86"/>
      <c r="DM394" s="342"/>
      <c r="DO394" s="63"/>
      <c r="DP394" s="86"/>
      <c r="ED394" s="54"/>
      <c r="EF394" s="63"/>
      <c r="EG394" s="86"/>
      <c r="EP394" s="63"/>
      <c r="EQ394" s="54"/>
      <c r="ER394" s="86"/>
      <c r="FF394" s="54"/>
      <c r="FG394" s="86"/>
      <c r="FO394" s="45"/>
      <c r="FT394" s="86"/>
      <c r="FW394" s="63"/>
      <c r="FX394" s="54"/>
      <c r="GB394" s="86"/>
      <c r="GK394" s="45"/>
      <c r="GL394" s="54"/>
      <c r="GS394" s="86"/>
      <c r="HC394" s="63"/>
      <c r="HJ394" s="86"/>
      <c r="HT394" s="63"/>
      <c r="HZ394" s="54"/>
      <c r="IA394" s="86"/>
      <c r="IJ394" s="54"/>
      <c r="IK394" s="86"/>
    </row>
    <row r="395" spans="1:245">
      <c r="A395" s="86">
        <v>365</v>
      </c>
      <c r="B395" s="117"/>
      <c r="C395" s="117"/>
      <c r="D395" s="117"/>
      <c r="E395" s="117"/>
      <c r="K395" s="117"/>
      <c r="L395" s="117"/>
      <c r="M395" s="117"/>
      <c r="N395" s="117"/>
      <c r="O395" s="117"/>
      <c r="P395" s="117"/>
      <c r="Q395" s="117"/>
      <c r="R395" s="63"/>
      <c r="S395" s="117"/>
      <c r="T395" s="117"/>
      <c r="U395" s="117"/>
      <c r="V395" s="117"/>
      <c r="W395" s="117"/>
      <c r="X395" s="117"/>
      <c r="Y395" s="117"/>
      <c r="Z395" s="117"/>
      <c r="AA395" s="117"/>
      <c r="AB395" s="117"/>
      <c r="AC395" s="117"/>
      <c r="AD395" s="117"/>
      <c r="AE395" s="117"/>
      <c r="AF395" s="74"/>
      <c r="AG395" s="117"/>
      <c r="AH395" s="117"/>
      <c r="AI395" s="117"/>
      <c r="AJ395" s="117"/>
      <c r="AK395" s="117"/>
      <c r="AL395" s="117"/>
      <c r="AM395" s="117"/>
      <c r="AN395" s="117"/>
      <c r="AO395" s="117"/>
      <c r="AP395" s="117"/>
      <c r="AQ395" s="117"/>
      <c r="AR395" s="117"/>
      <c r="AS395" s="145"/>
      <c r="AU395" s="117"/>
      <c r="AV395" s="45"/>
      <c r="AY395" s="162"/>
      <c r="BF395" s="45"/>
      <c r="BG395" s="246"/>
      <c r="BI395" s="138"/>
      <c r="BJ395" s="54"/>
      <c r="BK395" s="74"/>
      <c r="BL395" s="117"/>
      <c r="BM395" s="117"/>
      <c r="BN395" s="117"/>
      <c r="BO395" s="117"/>
      <c r="BP395" s="117"/>
      <c r="BQ395" s="117"/>
      <c r="BR395" s="117"/>
      <c r="BS395" s="117"/>
      <c r="BT395" s="117"/>
      <c r="BU395" s="117"/>
      <c r="BV395" s="117"/>
      <c r="BW395" s="117"/>
      <c r="BX395" s="117"/>
      <c r="BY395" s="117"/>
      <c r="CA395" s="102"/>
      <c r="CC395" s="86"/>
      <c r="CE395" s="102"/>
      <c r="CJ395" s="86"/>
      <c r="CP395" s="63"/>
      <c r="CQ395" s="54"/>
      <c r="CX395" s="86"/>
      <c r="DM395" s="342"/>
      <c r="DO395" s="63"/>
      <c r="DP395" s="86"/>
      <c r="ED395" s="54"/>
      <c r="EF395" s="63"/>
      <c r="EG395" s="86"/>
      <c r="EP395" s="63"/>
      <c r="EQ395" s="54"/>
      <c r="ER395" s="86"/>
      <c r="FF395" s="54"/>
      <c r="FG395" s="86"/>
      <c r="FO395" s="45"/>
      <c r="FT395" s="86"/>
      <c r="FW395" s="63"/>
      <c r="FX395" s="54"/>
      <c r="GB395" s="86"/>
      <c r="GK395" s="45"/>
      <c r="GL395" s="54"/>
      <c r="GS395" s="86"/>
      <c r="HC395" s="63"/>
      <c r="HJ395" s="86"/>
      <c r="HT395" s="63"/>
      <c r="HZ395" s="54"/>
      <c r="IA395" s="86"/>
      <c r="IJ395" s="54"/>
      <c r="IK395" s="86"/>
    </row>
    <row r="396" spans="1:245">
      <c r="A396" s="86">
        <v>366</v>
      </c>
      <c r="B396" s="117"/>
      <c r="C396" s="117"/>
      <c r="D396" s="117"/>
      <c r="E396" s="117"/>
      <c r="K396" s="117"/>
      <c r="L396" s="117"/>
      <c r="M396" s="117"/>
      <c r="N396" s="117"/>
      <c r="O396" s="117"/>
      <c r="P396" s="117"/>
      <c r="Q396" s="117"/>
      <c r="R396" s="63"/>
      <c r="S396" s="117"/>
      <c r="T396" s="117"/>
      <c r="U396" s="117"/>
      <c r="V396" s="117"/>
      <c r="W396" s="117"/>
      <c r="X396" s="117"/>
      <c r="Y396" s="117"/>
      <c r="Z396" s="117"/>
      <c r="AA396" s="117"/>
      <c r="AB396" s="117"/>
      <c r="AC396" s="117"/>
      <c r="AD396" s="117"/>
      <c r="AE396" s="117"/>
      <c r="AF396" s="74"/>
      <c r="AG396" s="117"/>
      <c r="AH396" s="117"/>
      <c r="AI396" s="117"/>
      <c r="AJ396" s="117"/>
      <c r="AK396" s="117"/>
      <c r="AL396" s="117"/>
      <c r="AM396" s="117"/>
      <c r="AN396" s="117"/>
      <c r="AO396" s="117"/>
      <c r="AP396" s="117"/>
      <c r="AQ396" s="117"/>
      <c r="AR396" s="117"/>
      <c r="AS396" s="145"/>
      <c r="AU396" s="117"/>
      <c r="AV396" s="45"/>
      <c r="AY396" s="162"/>
      <c r="BF396" s="45"/>
      <c r="BG396" s="246"/>
      <c r="BI396" s="138"/>
      <c r="BJ396" s="54"/>
      <c r="BK396" s="74"/>
      <c r="BL396" s="117"/>
      <c r="BM396" s="117"/>
      <c r="BN396" s="117"/>
      <c r="BO396" s="117"/>
      <c r="BP396" s="117"/>
      <c r="BQ396" s="117"/>
      <c r="BR396" s="117"/>
      <c r="BS396" s="117"/>
      <c r="BT396" s="117"/>
      <c r="BU396" s="117"/>
      <c r="BV396" s="117"/>
      <c r="BW396" s="117"/>
      <c r="BX396" s="117"/>
      <c r="BY396" s="117"/>
      <c r="CA396" s="102"/>
      <c r="CC396" s="86"/>
      <c r="CE396" s="102"/>
      <c r="CJ396" s="86"/>
      <c r="CP396" s="63"/>
      <c r="CQ396" s="54"/>
      <c r="CX396" s="86"/>
      <c r="DM396" s="342"/>
      <c r="DO396" s="63"/>
      <c r="DP396" s="86"/>
      <c r="ED396" s="54"/>
      <c r="EF396" s="63"/>
      <c r="EG396" s="86"/>
      <c r="EP396" s="63"/>
      <c r="EQ396" s="54"/>
      <c r="ER396" s="86"/>
      <c r="FF396" s="54"/>
      <c r="FG396" s="86"/>
      <c r="FO396" s="45"/>
      <c r="FT396" s="86"/>
      <c r="FW396" s="63"/>
      <c r="FX396" s="54"/>
      <c r="GB396" s="86"/>
      <c r="GK396" s="45"/>
      <c r="GL396" s="54"/>
      <c r="GS396" s="86"/>
      <c r="HC396" s="63"/>
      <c r="HJ396" s="86"/>
      <c r="HT396" s="63"/>
      <c r="HZ396" s="54"/>
      <c r="IA396" s="86"/>
      <c r="IJ396" s="54"/>
      <c r="IK396" s="86"/>
    </row>
    <row r="397" spans="1:245">
      <c r="A397" s="86">
        <v>367</v>
      </c>
      <c r="B397" s="117"/>
      <c r="C397" s="117"/>
      <c r="D397" s="117"/>
      <c r="E397" s="117"/>
      <c r="K397" s="117"/>
      <c r="L397" s="117"/>
      <c r="M397" s="117"/>
      <c r="N397" s="117"/>
      <c r="O397" s="117"/>
      <c r="P397" s="117"/>
      <c r="Q397" s="117"/>
      <c r="R397" s="63"/>
      <c r="S397" s="117"/>
      <c r="T397" s="117"/>
      <c r="U397" s="117"/>
      <c r="V397" s="117"/>
      <c r="W397" s="117"/>
      <c r="X397" s="117"/>
      <c r="Y397" s="117"/>
      <c r="Z397" s="117"/>
      <c r="AA397" s="117"/>
      <c r="AB397" s="117"/>
      <c r="AC397" s="117"/>
      <c r="AD397" s="117"/>
      <c r="AE397" s="117"/>
      <c r="AF397" s="74"/>
      <c r="AG397" s="117"/>
      <c r="AH397" s="117"/>
      <c r="AI397" s="117"/>
      <c r="AJ397" s="117"/>
      <c r="AK397" s="117"/>
      <c r="AL397" s="117"/>
      <c r="AM397" s="117"/>
      <c r="AN397" s="117"/>
      <c r="AO397" s="117"/>
      <c r="AP397" s="117"/>
      <c r="AQ397" s="117"/>
      <c r="AR397" s="117"/>
      <c r="AS397" s="145"/>
      <c r="AU397" s="117"/>
      <c r="AV397" s="45"/>
      <c r="AY397" s="162"/>
      <c r="BF397" s="45"/>
      <c r="BG397" s="246"/>
      <c r="BI397" s="138"/>
      <c r="BJ397" s="54"/>
      <c r="BK397" s="74"/>
      <c r="BL397" s="117"/>
      <c r="BM397" s="117"/>
      <c r="BN397" s="117"/>
      <c r="BO397" s="117"/>
      <c r="BP397" s="117"/>
      <c r="BQ397" s="117"/>
      <c r="BR397" s="117"/>
      <c r="BS397" s="117"/>
      <c r="BT397" s="117"/>
      <c r="BU397" s="117"/>
      <c r="BV397" s="117"/>
      <c r="BW397" s="117"/>
      <c r="BX397" s="117"/>
      <c r="BY397" s="117"/>
      <c r="CA397" s="102"/>
      <c r="CC397" s="86"/>
      <c r="CE397" s="102"/>
      <c r="CJ397" s="86"/>
      <c r="CP397" s="63"/>
      <c r="CQ397" s="54"/>
      <c r="CX397" s="86"/>
      <c r="DM397" s="342"/>
      <c r="DO397" s="63"/>
      <c r="DP397" s="86"/>
      <c r="ED397" s="54"/>
      <c r="EF397" s="63"/>
      <c r="EG397" s="86"/>
      <c r="EP397" s="63"/>
      <c r="EQ397" s="54"/>
      <c r="ER397" s="86"/>
      <c r="FF397" s="54"/>
      <c r="FG397" s="86"/>
      <c r="FO397" s="45"/>
      <c r="FT397" s="86"/>
      <c r="FW397" s="63"/>
      <c r="FX397" s="54"/>
      <c r="GB397" s="86"/>
      <c r="GK397" s="45"/>
      <c r="GL397" s="54"/>
      <c r="GS397" s="86"/>
      <c r="HC397" s="63"/>
      <c r="HJ397" s="86"/>
      <c r="HT397" s="63"/>
      <c r="HZ397" s="54"/>
      <c r="IA397" s="86"/>
      <c r="IJ397" s="54"/>
      <c r="IK397" s="86"/>
    </row>
    <row r="398" spans="1:245">
      <c r="A398" s="86">
        <v>368</v>
      </c>
      <c r="B398" s="117"/>
      <c r="C398" s="117"/>
      <c r="D398" s="117"/>
      <c r="E398" s="117"/>
      <c r="K398" s="117"/>
      <c r="L398" s="117"/>
      <c r="M398" s="117"/>
      <c r="N398" s="117"/>
      <c r="O398" s="117"/>
      <c r="P398" s="117"/>
      <c r="Q398" s="117"/>
      <c r="R398" s="63"/>
      <c r="S398" s="117"/>
      <c r="T398" s="117"/>
      <c r="U398" s="117"/>
      <c r="V398" s="117"/>
      <c r="W398" s="117"/>
      <c r="X398" s="117"/>
      <c r="Y398" s="117"/>
      <c r="Z398" s="117"/>
      <c r="AA398" s="117"/>
      <c r="AB398" s="117"/>
      <c r="AC398" s="117"/>
      <c r="AD398" s="117"/>
      <c r="AE398" s="117"/>
      <c r="AF398" s="74"/>
      <c r="AG398" s="117"/>
      <c r="AH398" s="117"/>
      <c r="AI398" s="117"/>
      <c r="AJ398" s="117"/>
      <c r="AK398" s="117"/>
      <c r="AL398" s="117"/>
      <c r="AM398" s="117"/>
      <c r="AN398" s="117"/>
      <c r="AO398" s="117"/>
      <c r="AP398" s="117"/>
      <c r="AQ398" s="117"/>
      <c r="AR398" s="117"/>
      <c r="AS398" s="145"/>
      <c r="AU398" s="117"/>
      <c r="AV398" s="45"/>
      <c r="AY398" s="162"/>
      <c r="BF398" s="45"/>
      <c r="BG398" s="246"/>
      <c r="BI398" s="138"/>
      <c r="BJ398" s="54"/>
      <c r="BK398" s="74"/>
      <c r="BL398" s="117"/>
      <c r="BM398" s="117"/>
      <c r="BN398" s="117"/>
      <c r="BO398" s="117"/>
      <c r="BP398" s="117"/>
      <c r="BQ398" s="117"/>
      <c r="BR398" s="117"/>
      <c r="BS398" s="117"/>
      <c r="BT398" s="117"/>
      <c r="BU398" s="117"/>
      <c r="BV398" s="117"/>
      <c r="BW398" s="117"/>
      <c r="BX398" s="117"/>
      <c r="BY398" s="117"/>
      <c r="CA398" s="102"/>
      <c r="CC398" s="86"/>
      <c r="CE398" s="102"/>
      <c r="CJ398" s="86"/>
      <c r="CP398" s="63"/>
      <c r="CQ398" s="54"/>
      <c r="CX398" s="86"/>
      <c r="DM398" s="342"/>
      <c r="DO398" s="63"/>
      <c r="DP398" s="86"/>
      <c r="ED398" s="54"/>
      <c r="EF398" s="63"/>
      <c r="EG398" s="86"/>
      <c r="EP398" s="63"/>
      <c r="EQ398" s="54"/>
      <c r="ER398" s="86"/>
      <c r="FF398" s="54"/>
      <c r="FG398" s="86"/>
      <c r="FO398" s="45"/>
      <c r="FT398" s="86"/>
      <c r="FW398" s="63"/>
      <c r="FX398" s="54"/>
      <c r="GB398" s="86"/>
      <c r="GK398" s="45"/>
      <c r="GL398" s="54"/>
      <c r="GS398" s="86"/>
      <c r="HC398" s="63"/>
      <c r="HJ398" s="86"/>
      <c r="HT398" s="63"/>
      <c r="HZ398" s="54"/>
      <c r="IA398" s="86"/>
      <c r="IJ398" s="54"/>
      <c r="IK398" s="86"/>
    </row>
    <row r="399" spans="1:245">
      <c r="A399" s="86">
        <v>369</v>
      </c>
      <c r="B399" s="117"/>
      <c r="C399" s="117"/>
      <c r="D399" s="117"/>
      <c r="E399" s="117"/>
      <c r="K399" s="117"/>
      <c r="L399" s="117"/>
      <c r="M399" s="117"/>
      <c r="N399" s="117"/>
      <c r="O399" s="117"/>
      <c r="P399" s="117"/>
      <c r="Q399" s="117"/>
      <c r="R399" s="63"/>
      <c r="S399" s="117"/>
      <c r="T399" s="117"/>
      <c r="U399" s="117"/>
      <c r="V399" s="117"/>
      <c r="W399" s="117"/>
      <c r="X399" s="117"/>
      <c r="Y399" s="117"/>
      <c r="Z399" s="117"/>
      <c r="AA399" s="117"/>
      <c r="AB399" s="117"/>
      <c r="AC399" s="117"/>
      <c r="AD399" s="117"/>
      <c r="AE399" s="117"/>
      <c r="AF399" s="74"/>
      <c r="AG399" s="117"/>
      <c r="AH399" s="117"/>
      <c r="AI399" s="117"/>
      <c r="AJ399" s="117"/>
      <c r="AK399" s="117"/>
      <c r="AL399" s="117"/>
      <c r="AM399" s="117"/>
      <c r="AN399" s="117"/>
      <c r="AO399" s="117"/>
      <c r="AP399" s="117"/>
      <c r="AQ399" s="117"/>
      <c r="AR399" s="117"/>
      <c r="AS399" s="145"/>
      <c r="AU399" s="117"/>
      <c r="AV399" s="45"/>
      <c r="AY399" s="162"/>
      <c r="BF399" s="45"/>
      <c r="BG399" s="246"/>
      <c r="BI399" s="138"/>
      <c r="BJ399" s="54"/>
      <c r="BK399" s="74"/>
      <c r="BL399" s="117"/>
      <c r="BM399" s="117"/>
      <c r="BN399" s="117"/>
      <c r="BO399" s="117"/>
      <c r="BP399" s="117"/>
      <c r="BQ399" s="117"/>
      <c r="BR399" s="117"/>
      <c r="BS399" s="117"/>
      <c r="BT399" s="117"/>
      <c r="BU399" s="117"/>
      <c r="BV399" s="117"/>
      <c r="BW399" s="117"/>
      <c r="BX399" s="117"/>
      <c r="BY399" s="117"/>
      <c r="CA399" s="102"/>
      <c r="CC399" s="86"/>
      <c r="CE399" s="102"/>
      <c r="CJ399" s="86"/>
      <c r="CP399" s="63"/>
      <c r="CQ399" s="54"/>
      <c r="CX399" s="86"/>
      <c r="DM399" s="342"/>
      <c r="DO399" s="63"/>
      <c r="DP399" s="86"/>
      <c r="ED399" s="54"/>
      <c r="EF399" s="63"/>
      <c r="EG399" s="86"/>
      <c r="EP399" s="63"/>
      <c r="EQ399" s="54"/>
      <c r="ER399" s="86"/>
      <c r="FF399" s="54"/>
      <c r="FG399" s="86"/>
      <c r="FO399" s="45"/>
      <c r="FT399" s="86"/>
      <c r="FW399" s="63"/>
      <c r="FX399" s="54"/>
      <c r="GB399" s="86"/>
      <c r="GK399" s="45"/>
      <c r="GL399" s="54"/>
      <c r="GS399" s="86"/>
      <c r="HC399" s="63"/>
      <c r="HJ399" s="86"/>
      <c r="HT399" s="63"/>
      <c r="HZ399" s="54"/>
      <c r="IA399" s="86"/>
      <c r="IJ399" s="54"/>
      <c r="IK399" s="86"/>
    </row>
    <row r="400" spans="1:245">
      <c r="A400" s="86">
        <v>370</v>
      </c>
      <c r="B400" s="117"/>
      <c r="C400" s="117"/>
      <c r="D400" s="117"/>
      <c r="E400" s="117"/>
      <c r="K400" s="117"/>
      <c r="L400" s="117"/>
      <c r="M400" s="117"/>
      <c r="N400" s="117"/>
      <c r="O400" s="117"/>
      <c r="P400" s="117"/>
      <c r="Q400" s="117"/>
      <c r="R400" s="63"/>
      <c r="S400" s="117"/>
      <c r="T400" s="117"/>
      <c r="U400" s="117"/>
      <c r="V400" s="117"/>
      <c r="W400" s="117"/>
      <c r="X400" s="117"/>
      <c r="Y400" s="117"/>
      <c r="Z400" s="117"/>
      <c r="AA400" s="117"/>
      <c r="AB400" s="117"/>
      <c r="AC400" s="117"/>
      <c r="AD400" s="117"/>
      <c r="AE400" s="117"/>
      <c r="AF400" s="74"/>
      <c r="AG400" s="117"/>
      <c r="AH400" s="117"/>
      <c r="AI400" s="117"/>
      <c r="AJ400" s="117"/>
      <c r="AK400" s="117"/>
      <c r="AL400" s="117"/>
      <c r="AM400" s="117"/>
      <c r="AN400" s="117"/>
      <c r="AO400" s="117"/>
      <c r="AP400" s="117"/>
      <c r="AQ400" s="117"/>
      <c r="AR400" s="117"/>
      <c r="AS400" s="145"/>
      <c r="AU400" s="117"/>
      <c r="AV400" s="45"/>
      <c r="AY400" s="162"/>
      <c r="BF400" s="45"/>
      <c r="BG400" s="246"/>
      <c r="BI400" s="138"/>
      <c r="BJ400" s="54"/>
      <c r="BK400" s="74"/>
      <c r="BL400" s="117"/>
      <c r="BM400" s="117"/>
      <c r="BN400" s="117"/>
      <c r="BO400" s="117"/>
      <c r="BP400" s="117"/>
      <c r="BQ400" s="117"/>
      <c r="BR400" s="117"/>
      <c r="BS400" s="117"/>
      <c r="BT400" s="117"/>
      <c r="BU400" s="117"/>
      <c r="BV400" s="117"/>
      <c r="BW400" s="117"/>
      <c r="BX400" s="117"/>
      <c r="BY400" s="117"/>
      <c r="CA400" s="102"/>
      <c r="CC400" s="86"/>
      <c r="CE400" s="102"/>
      <c r="CJ400" s="86"/>
      <c r="CP400" s="63"/>
      <c r="CQ400" s="54"/>
      <c r="CX400" s="86"/>
      <c r="DM400" s="342"/>
      <c r="DO400" s="63"/>
      <c r="DP400" s="86"/>
      <c r="ED400" s="54"/>
      <c r="EF400" s="63"/>
      <c r="EG400" s="86"/>
      <c r="EP400" s="63"/>
      <c r="EQ400" s="54"/>
      <c r="ER400" s="86"/>
      <c r="FF400" s="54"/>
      <c r="FG400" s="86"/>
      <c r="FO400" s="45"/>
      <c r="FT400" s="86"/>
      <c r="FW400" s="63"/>
      <c r="FX400" s="54"/>
      <c r="GB400" s="86"/>
      <c r="GK400" s="45"/>
      <c r="GL400" s="54"/>
      <c r="GS400" s="86"/>
      <c r="HC400" s="63"/>
      <c r="HJ400" s="86"/>
      <c r="HT400" s="63"/>
      <c r="HZ400" s="54"/>
      <c r="IA400" s="86"/>
      <c r="IJ400" s="54"/>
      <c r="IK400" s="86"/>
    </row>
    <row r="401" spans="1:245">
      <c r="A401" s="86">
        <v>371</v>
      </c>
      <c r="B401" s="117"/>
      <c r="C401" s="117"/>
      <c r="D401" s="117"/>
      <c r="E401" s="117"/>
      <c r="K401" s="117"/>
      <c r="L401" s="117"/>
      <c r="M401" s="117"/>
      <c r="N401" s="117"/>
      <c r="O401" s="117"/>
      <c r="P401" s="117"/>
      <c r="Q401" s="117"/>
      <c r="R401" s="63"/>
      <c r="S401" s="117"/>
      <c r="T401" s="117"/>
      <c r="U401" s="117"/>
      <c r="V401" s="117"/>
      <c r="W401" s="117"/>
      <c r="X401" s="117"/>
      <c r="Y401" s="117"/>
      <c r="Z401" s="117"/>
      <c r="AA401" s="117"/>
      <c r="AB401" s="117"/>
      <c r="AC401" s="117"/>
      <c r="AD401" s="117"/>
      <c r="AE401" s="117"/>
      <c r="AF401" s="74"/>
      <c r="AG401" s="117"/>
      <c r="AH401" s="117"/>
      <c r="AI401" s="117"/>
      <c r="AJ401" s="117"/>
      <c r="AK401" s="117"/>
      <c r="AL401" s="117"/>
      <c r="AM401" s="117"/>
      <c r="AN401" s="117"/>
      <c r="AO401" s="117"/>
      <c r="AP401" s="117"/>
      <c r="AQ401" s="117"/>
      <c r="AR401" s="117"/>
      <c r="AS401" s="145"/>
      <c r="AU401" s="117"/>
      <c r="AV401" s="45"/>
      <c r="AY401" s="162"/>
      <c r="BF401" s="45"/>
      <c r="BG401" s="246"/>
      <c r="BI401" s="138"/>
      <c r="BJ401" s="54"/>
      <c r="BK401" s="74"/>
      <c r="BL401" s="117"/>
      <c r="BM401" s="117"/>
      <c r="BN401" s="117"/>
      <c r="BO401" s="117"/>
      <c r="BP401" s="117"/>
      <c r="BQ401" s="117"/>
      <c r="BR401" s="117"/>
      <c r="BS401" s="117"/>
      <c r="BT401" s="117"/>
      <c r="BU401" s="117"/>
      <c r="BV401" s="117"/>
      <c r="BW401" s="117"/>
      <c r="BX401" s="117"/>
      <c r="BY401" s="117"/>
      <c r="CA401" s="102"/>
      <c r="CC401" s="86"/>
      <c r="CE401" s="102"/>
      <c r="CJ401" s="86"/>
      <c r="CP401" s="63"/>
      <c r="CQ401" s="54"/>
      <c r="CX401" s="86"/>
      <c r="DM401" s="342"/>
      <c r="DO401" s="63"/>
      <c r="DP401" s="86"/>
      <c r="ED401" s="54"/>
      <c r="EF401" s="63"/>
      <c r="EG401" s="86"/>
      <c r="EP401" s="63"/>
      <c r="EQ401" s="54"/>
      <c r="ER401" s="86"/>
      <c r="FF401" s="54"/>
      <c r="FG401" s="86"/>
      <c r="FO401" s="45"/>
      <c r="FT401" s="86"/>
      <c r="FW401" s="63"/>
      <c r="FX401" s="54"/>
      <c r="GB401" s="86"/>
      <c r="GK401" s="45"/>
      <c r="GL401" s="54"/>
      <c r="GS401" s="86"/>
      <c r="HC401" s="63"/>
      <c r="HJ401" s="86"/>
      <c r="HT401" s="63"/>
      <c r="HZ401" s="54"/>
      <c r="IA401" s="86"/>
      <c r="IJ401" s="54"/>
      <c r="IK401" s="86"/>
    </row>
    <row r="402" spans="1:245">
      <c r="A402" s="86">
        <v>372</v>
      </c>
      <c r="B402" s="117"/>
      <c r="C402" s="117"/>
      <c r="D402" s="117"/>
      <c r="E402" s="117"/>
      <c r="K402" s="117"/>
      <c r="L402" s="117"/>
      <c r="M402" s="117"/>
      <c r="N402" s="117"/>
      <c r="O402" s="117"/>
      <c r="P402" s="117"/>
      <c r="Q402" s="117"/>
      <c r="R402" s="63"/>
      <c r="S402" s="117"/>
      <c r="T402" s="117"/>
      <c r="U402" s="117"/>
      <c r="V402" s="117"/>
      <c r="W402" s="117"/>
      <c r="X402" s="117"/>
      <c r="Y402" s="117"/>
      <c r="Z402" s="117"/>
      <c r="AA402" s="117"/>
      <c r="AB402" s="117"/>
      <c r="AC402" s="117"/>
      <c r="AD402" s="117"/>
      <c r="AE402" s="117"/>
      <c r="AF402" s="74"/>
      <c r="AG402" s="117"/>
      <c r="AH402" s="117"/>
      <c r="AI402" s="117"/>
      <c r="AJ402" s="117"/>
      <c r="AK402" s="117"/>
      <c r="AL402" s="117"/>
      <c r="AM402" s="117"/>
      <c r="AN402" s="117"/>
      <c r="AO402" s="117"/>
      <c r="AP402" s="117"/>
      <c r="AQ402" s="117"/>
      <c r="AR402" s="117"/>
      <c r="AS402" s="145"/>
      <c r="AU402" s="117"/>
      <c r="AV402" s="45"/>
      <c r="AY402" s="162"/>
      <c r="BF402" s="45"/>
      <c r="BG402" s="246"/>
      <c r="BI402" s="138"/>
      <c r="BJ402" s="54"/>
      <c r="BK402" s="74"/>
      <c r="BL402" s="117"/>
      <c r="BM402" s="117"/>
      <c r="BN402" s="117"/>
      <c r="BO402" s="117"/>
      <c r="BP402" s="117"/>
      <c r="BQ402" s="117"/>
      <c r="BR402" s="117"/>
      <c r="BS402" s="117"/>
      <c r="BT402" s="117"/>
      <c r="BU402" s="117"/>
      <c r="BV402" s="117"/>
      <c r="BW402" s="117"/>
      <c r="BX402" s="117"/>
      <c r="BY402" s="117"/>
      <c r="CA402" s="102"/>
      <c r="CC402" s="86"/>
      <c r="CE402" s="102"/>
      <c r="CJ402" s="86"/>
      <c r="CP402" s="63"/>
      <c r="CQ402" s="54"/>
      <c r="CX402" s="86"/>
      <c r="DM402" s="342"/>
      <c r="DO402" s="63"/>
      <c r="DP402" s="86"/>
      <c r="ED402" s="54"/>
      <c r="EF402" s="63"/>
      <c r="EG402" s="86"/>
      <c r="EP402" s="63"/>
      <c r="EQ402" s="54"/>
      <c r="ER402" s="86"/>
      <c r="FF402" s="54"/>
      <c r="FG402" s="86"/>
      <c r="FO402" s="45"/>
      <c r="FT402" s="86"/>
      <c r="FW402" s="63"/>
      <c r="FX402" s="54"/>
      <c r="GB402" s="86"/>
      <c r="GK402" s="45"/>
      <c r="GL402" s="54"/>
      <c r="GS402" s="86"/>
      <c r="HC402" s="63"/>
      <c r="HJ402" s="86"/>
      <c r="HT402" s="63"/>
      <c r="HZ402" s="54"/>
      <c r="IA402" s="86"/>
      <c r="IJ402" s="54"/>
      <c r="IK402" s="86"/>
    </row>
    <row r="403" spans="1:245">
      <c r="A403" s="86">
        <v>373</v>
      </c>
      <c r="B403" s="117"/>
      <c r="C403" s="117"/>
      <c r="D403" s="117"/>
      <c r="E403" s="117"/>
      <c r="K403" s="117"/>
      <c r="L403" s="117"/>
      <c r="M403" s="117"/>
      <c r="N403" s="117"/>
      <c r="O403" s="117"/>
      <c r="P403" s="117"/>
      <c r="Q403" s="117"/>
      <c r="R403" s="63"/>
      <c r="S403" s="117"/>
      <c r="T403" s="117"/>
      <c r="U403" s="117"/>
      <c r="V403" s="117"/>
      <c r="W403" s="117"/>
      <c r="X403" s="117"/>
      <c r="Y403" s="117"/>
      <c r="Z403" s="117"/>
      <c r="AA403" s="117"/>
      <c r="AB403" s="117"/>
      <c r="AC403" s="117"/>
      <c r="AD403" s="117"/>
      <c r="AE403" s="117"/>
      <c r="AF403" s="74"/>
      <c r="AG403" s="117"/>
      <c r="AH403" s="117"/>
      <c r="AI403" s="117"/>
      <c r="AJ403" s="117"/>
      <c r="AK403" s="117"/>
      <c r="AL403" s="117"/>
      <c r="AM403" s="117"/>
      <c r="AN403" s="117"/>
      <c r="AO403" s="117"/>
      <c r="AP403" s="117"/>
      <c r="AQ403" s="117"/>
      <c r="AR403" s="117"/>
      <c r="AS403" s="145"/>
      <c r="AU403" s="117"/>
      <c r="AV403" s="45"/>
      <c r="AY403" s="162"/>
      <c r="BF403" s="45"/>
      <c r="BG403" s="246"/>
      <c r="BI403" s="138"/>
      <c r="BJ403" s="54"/>
      <c r="BK403" s="74"/>
      <c r="BL403" s="117"/>
      <c r="BM403" s="117"/>
      <c r="BN403" s="117"/>
      <c r="BO403" s="117"/>
      <c r="BP403" s="117"/>
      <c r="BQ403" s="117"/>
      <c r="BR403" s="117"/>
      <c r="BS403" s="117"/>
      <c r="BT403" s="117"/>
      <c r="BU403" s="117"/>
      <c r="BV403" s="117"/>
      <c r="BW403" s="117"/>
      <c r="BX403" s="117"/>
      <c r="BY403" s="117"/>
      <c r="CA403" s="102"/>
      <c r="CC403" s="86"/>
      <c r="CE403" s="102"/>
      <c r="CJ403" s="86"/>
      <c r="CP403" s="63"/>
      <c r="CQ403" s="54"/>
      <c r="CX403" s="86"/>
      <c r="DM403" s="342"/>
      <c r="DO403" s="63"/>
      <c r="DP403" s="86"/>
      <c r="ED403" s="54"/>
      <c r="EF403" s="63"/>
      <c r="EG403" s="86"/>
      <c r="EP403" s="63"/>
      <c r="EQ403" s="54"/>
      <c r="ER403" s="86"/>
      <c r="FF403" s="54"/>
      <c r="FG403" s="86"/>
      <c r="FO403" s="45"/>
      <c r="FT403" s="86"/>
      <c r="FW403" s="63"/>
      <c r="FX403" s="54"/>
      <c r="GB403" s="86"/>
      <c r="GK403" s="45"/>
      <c r="GL403" s="54"/>
      <c r="GS403" s="86"/>
      <c r="HC403" s="63"/>
      <c r="HJ403" s="86"/>
      <c r="HT403" s="63"/>
      <c r="HZ403" s="54"/>
      <c r="IA403" s="86"/>
      <c r="IJ403" s="54"/>
      <c r="IK403" s="86"/>
    </row>
    <row r="404" spans="1:245">
      <c r="A404" s="86">
        <v>374</v>
      </c>
      <c r="B404" s="117"/>
      <c r="C404" s="117"/>
      <c r="D404" s="117"/>
      <c r="E404" s="117"/>
      <c r="K404" s="117"/>
      <c r="L404" s="117"/>
      <c r="M404" s="117"/>
      <c r="N404" s="117"/>
      <c r="O404" s="117"/>
      <c r="P404" s="117"/>
      <c r="Q404" s="117"/>
      <c r="R404" s="63"/>
      <c r="S404" s="117"/>
      <c r="T404" s="117"/>
      <c r="U404" s="117"/>
      <c r="V404" s="117"/>
      <c r="W404" s="117"/>
      <c r="X404" s="117"/>
      <c r="Y404" s="117"/>
      <c r="Z404" s="117"/>
      <c r="AA404" s="117"/>
      <c r="AB404" s="117"/>
      <c r="AC404" s="117"/>
      <c r="AD404" s="117"/>
      <c r="AE404" s="117"/>
      <c r="AF404" s="74"/>
      <c r="AG404" s="117"/>
      <c r="AH404" s="117"/>
      <c r="AI404" s="117"/>
      <c r="AJ404" s="117"/>
      <c r="AK404" s="117"/>
      <c r="AL404" s="117"/>
      <c r="AM404" s="117"/>
      <c r="AN404" s="117"/>
      <c r="AO404" s="117"/>
      <c r="AP404" s="117"/>
      <c r="AQ404" s="117"/>
      <c r="AR404" s="117"/>
      <c r="AS404" s="145"/>
      <c r="AU404" s="117"/>
      <c r="AV404" s="45"/>
      <c r="AY404" s="162"/>
      <c r="BF404" s="45"/>
      <c r="BG404" s="246"/>
      <c r="BI404" s="138"/>
      <c r="BJ404" s="54"/>
      <c r="BK404" s="74"/>
      <c r="BL404" s="117"/>
      <c r="BM404" s="117"/>
      <c r="BN404" s="117"/>
      <c r="BO404" s="117"/>
      <c r="BP404" s="117"/>
      <c r="BQ404" s="117"/>
      <c r="BR404" s="117"/>
      <c r="BS404" s="117"/>
      <c r="BT404" s="117"/>
      <c r="BU404" s="117"/>
      <c r="BV404" s="117"/>
      <c r="BW404" s="117"/>
      <c r="BX404" s="117"/>
      <c r="BY404" s="117"/>
      <c r="CA404" s="102"/>
      <c r="CC404" s="86"/>
      <c r="CE404" s="102"/>
      <c r="CJ404" s="86"/>
      <c r="CP404" s="63"/>
      <c r="CQ404" s="54"/>
      <c r="CX404" s="86"/>
      <c r="DM404" s="342"/>
      <c r="DO404" s="63"/>
      <c r="DP404" s="86"/>
      <c r="ED404" s="54"/>
      <c r="EF404" s="63"/>
      <c r="EG404" s="86"/>
      <c r="EP404" s="63"/>
      <c r="EQ404" s="54"/>
      <c r="ER404" s="86"/>
      <c r="FF404" s="54"/>
      <c r="FG404" s="86"/>
      <c r="FO404" s="45"/>
      <c r="FT404" s="86"/>
      <c r="FW404" s="63"/>
      <c r="FX404" s="54"/>
      <c r="GB404" s="86"/>
      <c r="GK404" s="45"/>
      <c r="GL404" s="54"/>
      <c r="GS404" s="86"/>
      <c r="HC404" s="63"/>
      <c r="HJ404" s="86"/>
      <c r="HT404" s="63"/>
      <c r="HZ404" s="54"/>
      <c r="IA404" s="86"/>
      <c r="IJ404" s="54"/>
      <c r="IK404" s="86"/>
    </row>
    <row r="405" spans="1:245">
      <c r="A405" s="86">
        <v>375</v>
      </c>
      <c r="B405" s="117"/>
      <c r="C405" s="117"/>
      <c r="D405" s="117"/>
      <c r="E405" s="117"/>
      <c r="K405" s="117"/>
      <c r="L405" s="117"/>
      <c r="M405" s="117"/>
      <c r="N405" s="117"/>
      <c r="O405" s="117"/>
      <c r="P405" s="117"/>
      <c r="Q405" s="117"/>
      <c r="R405" s="63"/>
      <c r="S405" s="117"/>
      <c r="T405" s="117"/>
      <c r="U405" s="117"/>
      <c r="V405" s="117"/>
      <c r="W405" s="117"/>
      <c r="X405" s="117"/>
      <c r="Y405" s="117"/>
      <c r="Z405" s="117"/>
      <c r="AA405" s="117"/>
      <c r="AB405" s="117"/>
      <c r="AC405" s="117"/>
      <c r="AD405" s="117"/>
      <c r="AE405" s="117"/>
      <c r="AF405" s="74"/>
      <c r="AG405" s="117"/>
      <c r="AH405" s="117"/>
      <c r="AI405" s="117"/>
      <c r="AJ405" s="117"/>
      <c r="AK405" s="117"/>
      <c r="AL405" s="117"/>
      <c r="AM405" s="117"/>
      <c r="AN405" s="117"/>
      <c r="AO405" s="117"/>
      <c r="AP405" s="117"/>
      <c r="AQ405" s="117"/>
      <c r="AR405" s="117"/>
      <c r="AS405" s="145"/>
      <c r="AU405" s="117"/>
      <c r="AV405" s="45"/>
      <c r="AY405" s="162"/>
      <c r="BF405" s="45"/>
      <c r="BG405" s="246"/>
      <c r="BI405" s="138"/>
      <c r="BJ405" s="54"/>
      <c r="BK405" s="74"/>
      <c r="BL405" s="117"/>
      <c r="BM405" s="117"/>
      <c r="BN405" s="117"/>
      <c r="BO405" s="117"/>
      <c r="BP405" s="117"/>
      <c r="BQ405" s="117"/>
      <c r="BR405" s="117"/>
      <c r="BS405" s="117"/>
      <c r="BT405" s="117"/>
      <c r="BU405" s="117"/>
      <c r="BV405" s="117"/>
      <c r="BW405" s="117"/>
      <c r="BX405" s="117"/>
      <c r="BY405" s="117"/>
      <c r="CA405" s="102"/>
      <c r="CC405" s="86"/>
      <c r="CE405" s="102"/>
      <c r="CJ405" s="86"/>
      <c r="CP405" s="63"/>
      <c r="CQ405" s="54"/>
      <c r="CX405" s="86"/>
      <c r="DM405" s="342"/>
      <c r="DO405" s="63"/>
      <c r="DP405" s="86"/>
      <c r="ED405" s="54"/>
      <c r="EF405" s="63"/>
      <c r="EG405" s="86"/>
      <c r="EP405" s="63"/>
      <c r="EQ405" s="54"/>
      <c r="ER405" s="86"/>
      <c r="FF405" s="54"/>
      <c r="FG405" s="86"/>
      <c r="FO405" s="45"/>
      <c r="FT405" s="86"/>
      <c r="FW405" s="63"/>
      <c r="FX405" s="54"/>
      <c r="GB405" s="86"/>
      <c r="GK405" s="45"/>
      <c r="GL405" s="54"/>
      <c r="GS405" s="86"/>
      <c r="HC405" s="63"/>
      <c r="HJ405" s="86"/>
      <c r="HT405" s="63"/>
      <c r="HZ405" s="54"/>
      <c r="IA405" s="86"/>
      <c r="IJ405" s="54"/>
      <c r="IK405" s="86"/>
    </row>
    <row r="406" spans="1:245">
      <c r="A406" s="86">
        <v>376</v>
      </c>
      <c r="B406" s="117"/>
      <c r="C406" s="117"/>
      <c r="D406" s="117"/>
      <c r="E406" s="117"/>
      <c r="K406" s="117"/>
      <c r="L406" s="117"/>
      <c r="M406" s="117"/>
      <c r="N406" s="117"/>
      <c r="O406" s="117"/>
      <c r="P406" s="117"/>
      <c r="Q406" s="117"/>
      <c r="R406" s="63"/>
      <c r="S406" s="117"/>
      <c r="T406" s="117"/>
      <c r="U406" s="117"/>
      <c r="V406" s="117"/>
      <c r="W406" s="117"/>
      <c r="X406" s="117"/>
      <c r="Y406" s="117"/>
      <c r="Z406" s="117"/>
      <c r="AA406" s="117"/>
      <c r="AB406" s="117"/>
      <c r="AC406" s="117"/>
      <c r="AD406" s="117"/>
      <c r="AE406" s="117"/>
      <c r="AF406" s="74"/>
      <c r="AG406" s="117"/>
      <c r="AH406" s="117"/>
      <c r="AI406" s="117"/>
      <c r="AJ406" s="117"/>
      <c r="AK406" s="117"/>
      <c r="AL406" s="117"/>
      <c r="AM406" s="117"/>
      <c r="AN406" s="117"/>
      <c r="AO406" s="117"/>
      <c r="AP406" s="117"/>
      <c r="AQ406" s="117"/>
      <c r="AR406" s="117"/>
      <c r="AS406" s="145"/>
      <c r="AU406" s="117"/>
      <c r="AV406" s="45"/>
      <c r="AY406" s="162"/>
      <c r="BF406" s="45"/>
      <c r="BG406" s="246"/>
      <c r="BI406" s="138"/>
      <c r="BJ406" s="54"/>
      <c r="BK406" s="74"/>
      <c r="BL406" s="117"/>
      <c r="BM406" s="117"/>
      <c r="BN406" s="117"/>
      <c r="BO406" s="117"/>
      <c r="BP406" s="117"/>
      <c r="BQ406" s="117"/>
      <c r="BR406" s="117"/>
      <c r="BS406" s="117"/>
      <c r="BT406" s="117"/>
      <c r="BU406" s="117"/>
      <c r="BV406" s="117"/>
      <c r="BW406" s="117"/>
      <c r="BX406" s="117"/>
      <c r="BY406" s="117"/>
      <c r="CA406" s="102"/>
      <c r="CC406" s="86"/>
      <c r="CE406" s="102"/>
      <c r="CJ406" s="86"/>
      <c r="CP406" s="63"/>
      <c r="CQ406" s="54"/>
      <c r="CX406" s="86"/>
      <c r="DM406" s="342"/>
      <c r="DO406" s="63"/>
      <c r="DP406" s="86"/>
      <c r="ED406" s="54"/>
      <c r="EF406" s="63"/>
      <c r="EG406" s="86"/>
      <c r="EP406" s="63"/>
      <c r="EQ406" s="54"/>
      <c r="ER406" s="86"/>
      <c r="FF406" s="54"/>
      <c r="FG406" s="86"/>
      <c r="FO406" s="45"/>
      <c r="FT406" s="86"/>
      <c r="FW406" s="63"/>
      <c r="FX406" s="54"/>
      <c r="GB406" s="86"/>
      <c r="GK406" s="45"/>
      <c r="GL406" s="54"/>
      <c r="GS406" s="86"/>
      <c r="HC406" s="63"/>
      <c r="HJ406" s="86"/>
      <c r="HT406" s="63"/>
      <c r="HZ406" s="54"/>
      <c r="IA406" s="86"/>
      <c r="IJ406" s="54"/>
      <c r="IK406" s="86"/>
    </row>
    <row r="407" spans="1:245">
      <c r="A407" s="86">
        <v>377</v>
      </c>
      <c r="B407" s="117"/>
      <c r="C407" s="117"/>
      <c r="D407" s="117"/>
      <c r="E407" s="117"/>
      <c r="K407" s="117"/>
      <c r="L407" s="117"/>
      <c r="M407" s="117"/>
      <c r="N407" s="117"/>
      <c r="O407" s="117"/>
      <c r="P407" s="117"/>
      <c r="Q407" s="117"/>
      <c r="R407" s="63"/>
      <c r="S407" s="117"/>
      <c r="T407" s="117"/>
      <c r="U407" s="117"/>
      <c r="V407" s="117"/>
      <c r="W407" s="117"/>
      <c r="X407" s="117"/>
      <c r="Y407" s="117"/>
      <c r="Z407" s="117"/>
      <c r="AA407" s="117"/>
      <c r="AB407" s="117"/>
      <c r="AC407" s="117"/>
      <c r="AD407" s="117"/>
      <c r="AE407" s="117"/>
      <c r="AF407" s="74"/>
      <c r="AG407" s="117"/>
      <c r="AH407" s="117"/>
      <c r="AI407" s="117"/>
      <c r="AJ407" s="117"/>
      <c r="AK407" s="117"/>
      <c r="AL407" s="117"/>
      <c r="AM407" s="117"/>
      <c r="AN407" s="117"/>
      <c r="AO407" s="117"/>
      <c r="AP407" s="117"/>
      <c r="AQ407" s="117"/>
      <c r="AR407" s="117"/>
      <c r="AS407" s="145"/>
      <c r="AU407" s="117"/>
      <c r="AV407" s="45"/>
      <c r="AY407" s="162"/>
      <c r="BF407" s="45"/>
      <c r="BG407" s="246"/>
      <c r="BI407" s="138"/>
      <c r="BJ407" s="54"/>
      <c r="BK407" s="74"/>
      <c r="BL407" s="117"/>
      <c r="BM407" s="117"/>
      <c r="BN407" s="117"/>
      <c r="BO407" s="117"/>
      <c r="BP407" s="117"/>
      <c r="BQ407" s="117"/>
      <c r="BR407" s="117"/>
      <c r="BS407" s="117"/>
      <c r="BT407" s="117"/>
      <c r="BU407" s="117"/>
      <c r="BV407" s="117"/>
      <c r="BW407" s="117"/>
      <c r="BX407" s="117"/>
      <c r="BY407" s="117"/>
      <c r="CA407" s="102"/>
      <c r="CC407" s="86"/>
      <c r="CE407" s="102"/>
      <c r="CJ407" s="86"/>
      <c r="CP407" s="63"/>
      <c r="CQ407" s="54"/>
      <c r="CX407" s="86"/>
      <c r="DM407" s="342"/>
      <c r="DO407" s="63"/>
      <c r="DP407" s="86"/>
      <c r="ED407" s="54"/>
      <c r="EF407" s="63"/>
      <c r="EG407" s="86"/>
      <c r="EP407" s="63"/>
      <c r="EQ407" s="54"/>
      <c r="ER407" s="86"/>
      <c r="FF407" s="54"/>
      <c r="FG407" s="86"/>
      <c r="FO407" s="45"/>
      <c r="FT407" s="86"/>
      <c r="FW407" s="63"/>
      <c r="FX407" s="54"/>
      <c r="GB407" s="86"/>
      <c r="GK407" s="45"/>
      <c r="GL407" s="54"/>
      <c r="GS407" s="86"/>
      <c r="HC407" s="63"/>
      <c r="HJ407" s="86"/>
      <c r="HT407" s="63"/>
      <c r="HZ407" s="54"/>
      <c r="IA407" s="86"/>
      <c r="IJ407" s="54"/>
      <c r="IK407" s="86"/>
    </row>
    <row r="408" spans="1:245">
      <c r="A408" s="86">
        <v>378</v>
      </c>
      <c r="B408" s="117"/>
      <c r="C408" s="117"/>
      <c r="D408" s="117"/>
      <c r="E408" s="117"/>
      <c r="K408" s="117"/>
      <c r="L408" s="117"/>
      <c r="M408" s="117"/>
      <c r="N408" s="117"/>
      <c r="O408" s="117"/>
      <c r="P408" s="117"/>
      <c r="Q408" s="117"/>
      <c r="R408" s="63"/>
      <c r="S408" s="117"/>
      <c r="T408" s="117"/>
      <c r="U408" s="117"/>
      <c r="V408" s="117"/>
      <c r="W408" s="117"/>
      <c r="X408" s="117"/>
      <c r="Y408" s="117"/>
      <c r="Z408" s="117"/>
      <c r="AA408" s="117"/>
      <c r="AB408" s="117"/>
      <c r="AC408" s="117"/>
      <c r="AD408" s="117"/>
      <c r="AE408" s="117"/>
      <c r="AF408" s="74"/>
      <c r="AG408" s="117"/>
      <c r="AH408" s="117"/>
      <c r="AI408" s="117"/>
      <c r="AJ408" s="117"/>
      <c r="AK408" s="117"/>
      <c r="AL408" s="117"/>
      <c r="AM408" s="117"/>
      <c r="AN408" s="117"/>
      <c r="AO408" s="117"/>
      <c r="AP408" s="117"/>
      <c r="AQ408" s="117"/>
      <c r="AR408" s="117"/>
      <c r="AS408" s="145"/>
      <c r="AU408" s="117"/>
      <c r="AV408" s="45"/>
      <c r="AY408" s="162"/>
      <c r="BF408" s="45"/>
      <c r="BG408" s="246"/>
      <c r="BI408" s="138"/>
      <c r="BJ408" s="54"/>
      <c r="BK408" s="74"/>
      <c r="BL408" s="117"/>
      <c r="BM408" s="117"/>
      <c r="BN408" s="117"/>
      <c r="BO408" s="117"/>
      <c r="BP408" s="117"/>
      <c r="BQ408" s="117"/>
      <c r="BR408" s="117"/>
      <c r="BS408" s="117"/>
      <c r="BT408" s="117"/>
      <c r="BU408" s="117"/>
      <c r="BV408" s="117"/>
      <c r="BW408" s="117"/>
      <c r="BX408" s="117"/>
      <c r="BY408" s="117"/>
      <c r="CA408" s="102"/>
      <c r="CC408" s="86"/>
      <c r="CE408" s="102"/>
      <c r="CJ408" s="86"/>
      <c r="CP408" s="63"/>
      <c r="CQ408" s="54"/>
      <c r="CX408" s="86"/>
      <c r="DM408" s="342"/>
      <c r="DO408" s="63"/>
      <c r="DP408" s="86"/>
      <c r="ED408" s="54"/>
      <c r="EF408" s="63"/>
      <c r="EG408" s="86"/>
      <c r="EP408" s="63"/>
      <c r="EQ408" s="54"/>
      <c r="ER408" s="86"/>
      <c r="FF408" s="54"/>
      <c r="FG408" s="86"/>
      <c r="FO408" s="45"/>
      <c r="FT408" s="86"/>
      <c r="FW408" s="63"/>
      <c r="FX408" s="54"/>
      <c r="GB408" s="86"/>
      <c r="GK408" s="45"/>
      <c r="GL408" s="54"/>
      <c r="GS408" s="86"/>
      <c r="HC408" s="63"/>
      <c r="HJ408" s="86"/>
      <c r="HT408" s="63"/>
      <c r="HZ408" s="54"/>
      <c r="IA408" s="86"/>
      <c r="IJ408" s="54"/>
      <c r="IK408" s="86"/>
    </row>
    <row r="409" spans="1:245">
      <c r="A409" s="86">
        <v>379</v>
      </c>
      <c r="B409" s="117"/>
      <c r="C409" s="117"/>
      <c r="D409" s="117"/>
      <c r="E409" s="117"/>
      <c r="K409" s="117"/>
      <c r="L409" s="117"/>
      <c r="M409" s="117"/>
      <c r="N409" s="117"/>
      <c r="O409" s="117"/>
      <c r="P409" s="117"/>
      <c r="Q409" s="117"/>
      <c r="R409" s="63"/>
      <c r="S409" s="117"/>
      <c r="T409" s="117"/>
      <c r="U409" s="117"/>
      <c r="V409" s="117"/>
      <c r="W409" s="117"/>
      <c r="X409" s="117"/>
      <c r="Y409" s="117"/>
      <c r="Z409" s="117"/>
      <c r="AA409" s="117"/>
      <c r="AB409" s="117"/>
      <c r="AC409" s="117"/>
      <c r="AD409" s="117"/>
      <c r="AE409" s="117"/>
      <c r="AF409" s="74"/>
      <c r="AG409" s="117"/>
      <c r="AH409" s="117"/>
      <c r="AI409" s="117"/>
      <c r="AJ409" s="117"/>
      <c r="AK409" s="117"/>
      <c r="AL409" s="117"/>
      <c r="AM409" s="117"/>
      <c r="AN409" s="117"/>
      <c r="AO409" s="117"/>
      <c r="AP409" s="117"/>
      <c r="AQ409" s="117"/>
      <c r="AR409" s="117"/>
      <c r="AS409" s="145"/>
      <c r="AU409" s="117"/>
      <c r="AV409" s="45"/>
      <c r="AY409" s="162"/>
      <c r="BF409" s="45"/>
      <c r="BG409" s="246"/>
      <c r="BI409" s="138"/>
      <c r="BJ409" s="54"/>
      <c r="BK409" s="74"/>
      <c r="BL409" s="117"/>
      <c r="BM409" s="117"/>
      <c r="BN409" s="117"/>
      <c r="BO409" s="117"/>
      <c r="BP409" s="117"/>
      <c r="BQ409" s="117"/>
      <c r="BR409" s="117"/>
      <c r="BS409" s="117"/>
      <c r="BT409" s="117"/>
      <c r="BU409" s="117"/>
      <c r="BV409" s="117"/>
      <c r="BW409" s="117"/>
      <c r="BX409" s="117"/>
      <c r="BY409" s="117"/>
      <c r="CA409" s="102"/>
      <c r="CC409" s="86"/>
      <c r="CE409" s="102"/>
      <c r="CJ409" s="86"/>
      <c r="CP409" s="63"/>
      <c r="CQ409" s="54"/>
      <c r="CX409" s="86"/>
      <c r="DM409" s="342"/>
      <c r="DO409" s="63"/>
      <c r="DP409" s="86"/>
      <c r="ED409" s="54"/>
      <c r="EF409" s="63"/>
      <c r="EG409" s="86"/>
      <c r="EP409" s="63"/>
      <c r="EQ409" s="54"/>
      <c r="ER409" s="86"/>
      <c r="FF409" s="54"/>
      <c r="FG409" s="86"/>
      <c r="FO409" s="45"/>
      <c r="FT409" s="86"/>
      <c r="FW409" s="63"/>
      <c r="FX409" s="54"/>
      <c r="GB409" s="86"/>
      <c r="GK409" s="45"/>
      <c r="GL409" s="54"/>
      <c r="GS409" s="86"/>
      <c r="HC409" s="63"/>
      <c r="HJ409" s="86"/>
      <c r="HT409" s="63"/>
      <c r="HZ409" s="54"/>
      <c r="IA409" s="86"/>
      <c r="IJ409" s="54"/>
      <c r="IK409" s="86"/>
    </row>
    <row r="410" spans="1:245">
      <c r="A410" s="86">
        <v>380</v>
      </c>
      <c r="B410" s="117"/>
      <c r="C410" s="117"/>
      <c r="D410" s="117"/>
      <c r="E410" s="117"/>
      <c r="K410" s="117"/>
      <c r="L410" s="117"/>
      <c r="M410" s="117"/>
      <c r="N410" s="117"/>
      <c r="O410" s="117"/>
      <c r="P410" s="117"/>
      <c r="Q410" s="117"/>
      <c r="R410" s="63"/>
      <c r="S410" s="117"/>
      <c r="T410" s="117"/>
      <c r="U410" s="117"/>
      <c r="V410" s="117"/>
      <c r="W410" s="117"/>
      <c r="X410" s="117"/>
      <c r="Y410" s="117"/>
      <c r="Z410" s="117"/>
      <c r="AA410" s="117"/>
      <c r="AB410" s="117"/>
      <c r="AC410" s="117"/>
      <c r="AD410" s="117"/>
      <c r="AE410" s="117"/>
      <c r="AF410" s="74"/>
      <c r="AG410" s="117"/>
      <c r="AH410" s="117"/>
      <c r="AI410" s="117"/>
      <c r="AJ410" s="117"/>
      <c r="AK410" s="117"/>
      <c r="AL410" s="117"/>
      <c r="AM410" s="117"/>
      <c r="AN410" s="117"/>
      <c r="AO410" s="117"/>
      <c r="AP410" s="117"/>
      <c r="AQ410" s="117"/>
      <c r="AR410" s="117"/>
      <c r="AS410" s="145"/>
      <c r="AU410" s="117"/>
      <c r="AV410" s="45"/>
      <c r="AY410" s="162"/>
      <c r="BF410" s="45"/>
      <c r="BG410" s="246"/>
      <c r="BI410" s="138"/>
      <c r="BJ410" s="54"/>
      <c r="BK410" s="74"/>
      <c r="BL410" s="117"/>
      <c r="BM410" s="117"/>
      <c r="BN410" s="117"/>
      <c r="BO410" s="117"/>
      <c r="BP410" s="117"/>
      <c r="BQ410" s="117"/>
      <c r="BR410" s="117"/>
      <c r="BS410" s="117"/>
      <c r="BT410" s="117"/>
      <c r="BU410" s="117"/>
      <c r="BV410" s="117"/>
      <c r="BW410" s="117"/>
      <c r="BX410" s="117"/>
      <c r="BY410" s="117"/>
      <c r="CA410" s="102"/>
      <c r="CC410" s="86"/>
      <c r="CE410" s="102"/>
      <c r="CJ410" s="86"/>
      <c r="CP410" s="63"/>
      <c r="CQ410" s="54"/>
      <c r="CX410" s="86"/>
      <c r="DM410" s="342"/>
      <c r="DO410" s="63"/>
      <c r="DP410" s="86"/>
      <c r="ED410" s="54"/>
      <c r="EF410" s="63"/>
      <c r="EG410" s="86"/>
      <c r="EP410" s="63"/>
      <c r="EQ410" s="54"/>
      <c r="ER410" s="86"/>
      <c r="FF410" s="54"/>
      <c r="FG410" s="86"/>
      <c r="FO410" s="45"/>
      <c r="FT410" s="86"/>
      <c r="FW410" s="63"/>
      <c r="FX410" s="54"/>
      <c r="GB410" s="86"/>
      <c r="GK410" s="45"/>
      <c r="GL410" s="54"/>
      <c r="GS410" s="86"/>
      <c r="HC410" s="63"/>
      <c r="HJ410" s="86"/>
      <c r="HT410" s="63"/>
      <c r="HZ410" s="54"/>
      <c r="IA410" s="86"/>
      <c r="IJ410" s="54"/>
      <c r="IK410" s="86"/>
    </row>
    <row r="411" spans="1:245">
      <c r="A411" s="86">
        <v>381</v>
      </c>
      <c r="B411" s="117"/>
      <c r="C411" s="117"/>
      <c r="D411" s="117"/>
      <c r="E411" s="117"/>
      <c r="K411" s="117"/>
      <c r="L411" s="117"/>
      <c r="M411" s="117"/>
      <c r="N411" s="117"/>
      <c r="O411" s="117"/>
      <c r="P411" s="117"/>
      <c r="Q411" s="117"/>
      <c r="R411" s="63"/>
      <c r="S411" s="117"/>
      <c r="T411" s="117"/>
      <c r="U411" s="117"/>
      <c r="V411" s="117"/>
      <c r="W411" s="117"/>
      <c r="X411" s="117"/>
      <c r="Y411" s="117"/>
      <c r="Z411" s="117"/>
      <c r="AA411" s="117"/>
      <c r="AB411" s="117"/>
      <c r="AC411" s="117"/>
      <c r="AD411" s="117"/>
      <c r="AE411" s="117"/>
      <c r="AF411" s="74"/>
      <c r="AG411" s="117"/>
      <c r="AH411" s="117"/>
      <c r="AI411" s="117"/>
      <c r="AJ411" s="117"/>
      <c r="AK411" s="117"/>
      <c r="AL411" s="117"/>
      <c r="AM411" s="117"/>
      <c r="AN411" s="117"/>
      <c r="AO411" s="117"/>
      <c r="AP411" s="117"/>
      <c r="AQ411" s="117"/>
      <c r="AR411" s="117"/>
      <c r="AS411" s="145"/>
      <c r="AU411" s="117"/>
      <c r="AV411" s="45"/>
      <c r="AY411" s="162"/>
      <c r="BF411" s="45"/>
      <c r="BG411" s="246"/>
      <c r="BI411" s="138"/>
      <c r="BJ411" s="54"/>
      <c r="BK411" s="74"/>
      <c r="BL411" s="117"/>
      <c r="BM411" s="117"/>
      <c r="BN411" s="117"/>
      <c r="BO411" s="117"/>
      <c r="BP411" s="117"/>
      <c r="BQ411" s="117"/>
      <c r="BR411" s="117"/>
      <c r="BS411" s="117"/>
      <c r="BT411" s="117"/>
      <c r="BU411" s="117"/>
      <c r="BV411" s="117"/>
      <c r="BW411" s="117"/>
      <c r="BX411" s="117"/>
      <c r="BY411" s="117"/>
      <c r="CA411" s="102"/>
      <c r="CC411" s="86"/>
      <c r="CE411" s="102"/>
      <c r="CJ411" s="86"/>
      <c r="CP411" s="63"/>
      <c r="CQ411" s="54"/>
      <c r="CX411" s="86"/>
      <c r="DM411" s="342"/>
      <c r="DO411" s="63"/>
      <c r="DP411" s="86"/>
      <c r="ED411" s="54"/>
      <c r="EF411" s="63"/>
      <c r="EG411" s="86"/>
      <c r="EP411" s="63"/>
      <c r="EQ411" s="54"/>
      <c r="ER411" s="86"/>
      <c r="FF411" s="54"/>
      <c r="FG411" s="86"/>
      <c r="FO411" s="45"/>
      <c r="FT411" s="86"/>
      <c r="FW411" s="63"/>
      <c r="FX411" s="54"/>
      <c r="GB411" s="86"/>
      <c r="GK411" s="45"/>
      <c r="GL411" s="54"/>
      <c r="GS411" s="86"/>
      <c r="HC411" s="63"/>
      <c r="HJ411" s="86"/>
      <c r="HT411" s="63"/>
      <c r="HZ411" s="54"/>
      <c r="IA411" s="86"/>
      <c r="IJ411" s="54"/>
      <c r="IK411" s="86"/>
    </row>
    <row r="412" spans="1:245">
      <c r="A412" s="86">
        <v>382</v>
      </c>
      <c r="B412" s="117"/>
      <c r="C412" s="117"/>
      <c r="D412" s="117"/>
      <c r="E412" s="117"/>
      <c r="K412" s="117"/>
      <c r="L412" s="117"/>
      <c r="M412" s="117"/>
      <c r="N412" s="117"/>
      <c r="O412" s="117"/>
      <c r="P412" s="117"/>
      <c r="Q412" s="117"/>
      <c r="R412" s="63"/>
      <c r="S412" s="117"/>
      <c r="T412" s="117"/>
      <c r="U412" s="117"/>
      <c r="V412" s="117"/>
      <c r="W412" s="117"/>
      <c r="X412" s="117"/>
      <c r="Y412" s="117"/>
      <c r="Z412" s="117"/>
      <c r="AA412" s="117"/>
      <c r="AB412" s="117"/>
      <c r="AC412" s="117"/>
      <c r="AD412" s="117"/>
      <c r="AE412" s="117"/>
      <c r="AF412" s="74"/>
      <c r="AG412" s="117"/>
      <c r="AH412" s="117"/>
      <c r="AI412" s="117"/>
      <c r="AJ412" s="117"/>
      <c r="AK412" s="117"/>
      <c r="AL412" s="117"/>
      <c r="AM412" s="117"/>
      <c r="AN412" s="117"/>
      <c r="AO412" s="117"/>
      <c r="AP412" s="117"/>
      <c r="AQ412" s="117"/>
      <c r="AR412" s="117"/>
      <c r="AS412" s="145"/>
      <c r="AU412" s="117"/>
      <c r="AV412" s="45"/>
      <c r="AY412" s="162"/>
      <c r="BF412" s="45"/>
      <c r="BG412" s="246"/>
      <c r="BI412" s="138"/>
      <c r="BJ412" s="54"/>
      <c r="BK412" s="74"/>
      <c r="BL412" s="117"/>
      <c r="BM412" s="117"/>
      <c r="BN412" s="117"/>
      <c r="BO412" s="117"/>
      <c r="BP412" s="117"/>
      <c r="BQ412" s="117"/>
      <c r="BR412" s="117"/>
      <c r="BS412" s="117"/>
      <c r="BT412" s="117"/>
      <c r="BU412" s="117"/>
      <c r="BV412" s="117"/>
      <c r="BW412" s="117"/>
      <c r="BX412" s="117"/>
      <c r="BY412" s="117"/>
      <c r="CA412" s="102"/>
      <c r="CC412" s="86"/>
      <c r="CE412" s="102"/>
      <c r="CJ412" s="86"/>
      <c r="CP412" s="63"/>
      <c r="CQ412" s="54"/>
      <c r="CX412" s="86"/>
      <c r="DM412" s="342"/>
      <c r="DO412" s="63"/>
      <c r="DP412" s="86"/>
      <c r="ED412" s="54"/>
      <c r="EF412" s="63"/>
      <c r="EG412" s="86"/>
      <c r="EP412" s="63"/>
      <c r="EQ412" s="54"/>
      <c r="ER412" s="86"/>
      <c r="FF412" s="54"/>
      <c r="FG412" s="86"/>
      <c r="FO412" s="45"/>
      <c r="FT412" s="86"/>
      <c r="FW412" s="63"/>
      <c r="FX412" s="54"/>
      <c r="GB412" s="86"/>
      <c r="GK412" s="45"/>
      <c r="GL412" s="54"/>
      <c r="GS412" s="86"/>
      <c r="HC412" s="63"/>
      <c r="HJ412" s="86"/>
      <c r="HT412" s="63"/>
      <c r="HZ412" s="54"/>
      <c r="IA412" s="86"/>
      <c r="IJ412" s="54"/>
      <c r="IK412" s="86"/>
    </row>
    <row r="413" spans="1:245">
      <c r="A413" s="86">
        <v>383</v>
      </c>
      <c r="B413" s="117"/>
      <c r="C413" s="117"/>
      <c r="D413" s="117"/>
      <c r="E413" s="117"/>
      <c r="K413" s="117"/>
      <c r="L413" s="117"/>
      <c r="M413" s="117"/>
      <c r="N413" s="117"/>
      <c r="O413" s="117"/>
      <c r="P413" s="117"/>
      <c r="Q413" s="117"/>
      <c r="R413" s="63"/>
      <c r="S413" s="117"/>
      <c r="T413" s="117"/>
      <c r="U413" s="117"/>
      <c r="V413" s="117"/>
      <c r="W413" s="117"/>
      <c r="X413" s="117"/>
      <c r="Y413" s="117"/>
      <c r="Z413" s="117"/>
      <c r="AA413" s="117"/>
      <c r="AB413" s="117"/>
      <c r="AC413" s="117"/>
      <c r="AD413" s="117"/>
      <c r="AE413" s="117"/>
      <c r="AF413" s="74"/>
      <c r="AG413" s="117"/>
      <c r="AH413" s="117"/>
      <c r="AI413" s="117"/>
      <c r="AJ413" s="117"/>
      <c r="AK413" s="117"/>
      <c r="AL413" s="117"/>
      <c r="AM413" s="117"/>
      <c r="AN413" s="117"/>
      <c r="AO413" s="117"/>
      <c r="AP413" s="117"/>
      <c r="AQ413" s="117"/>
      <c r="AR413" s="117"/>
      <c r="AS413" s="145"/>
      <c r="AU413" s="117"/>
      <c r="AV413" s="45"/>
      <c r="AY413" s="162"/>
      <c r="BF413" s="45"/>
      <c r="BG413" s="246"/>
      <c r="BI413" s="138"/>
      <c r="BJ413" s="54"/>
      <c r="BK413" s="74"/>
      <c r="BL413" s="117"/>
      <c r="BM413" s="117"/>
      <c r="BN413" s="117"/>
      <c r="BO413" s="117"/>
      <c r="BP413" s="117"/>
      <c r="BQ413" s="117"/>
      <c r="BR413" s="117"/>
      <c r="BS413" s="117"/>
      <c r="BT413" s="117"/>
      <c r="BU413" s="117"/>
      <c r="BV413" s="117"/>
      <c r="BW413" s="117"/>
      <c r="BX413" s="117"/>
      <c r="BY413" s="117"/>
      <c r="CA413" s="102"/>
      <c r="CC413" s="86"/>
      <c r="CE413" s="102"/>
      <c r="CJ413" s="86"/>
      <c r="CP413" s="63"/>
      <c r="CQ413" s="54"/>
      <c r="CX413" s="86"/>
      <c r="DM413" s="342"/>
      <c r="DO413" s="63"/>
      <c r="DP413" s="86"/>
      <c r="ED413" s="54"/>
      <c r="EF413" s="63"/>
      <c r="EG413" s="86"/>
      <c r="EP413" s="63"/>
      <c r="EQ413" s="54"/>
      <c r="ER413" s="86"/>
      <c r="FF413" s="54"/>
      <c r="FG413" s="86"/>
      <c r="FO413" s="45"/>
      <c r="FT413" s="86"/>
      <c r="FW413" s="63"/>
      <c r="FX413" s="54"/>
      <c r="GB413" s="86"/>
      <c r="GK413" s="45"/>
      <c r="GL413" s="54"/>
      <c r="GS413" s="86"/>
      <c r="HC413" s="63"/>
      <c r="HJ413" s="86"/>
      <c r="HT413" s="63"/>
      <c r="HZ413" s="54"/>
      <c r="IA413" s="86"/>
      <c r="IJ413" s="54"/>
      <c r="IK413" s="86"/>
    </row>
    <row r="414" spans="1:245">
      <c r="A414" s="86">
        <v>384</v>
      </c>
      <c r="B414" s="117"/>
      <c r="C414" s="117"/>
      <c r="D414" s="117"/>
      <c r="E414" s="117"/>
      <c r="K414" s="117"/>
      <c r="L414" s="117"/>
      <c r="M414" s="117"/>
      <c r="N414" s="117"/>
      <c r="O414" s="117"/>
      <c r="P414" s="117"/>
      <c r="Q414" s="117"/>
      <c r="R414" s="63"/>
      <c r="S414" s="117"/>
      <c r="T414" s="117"/>
      <c r="U414" s="117"/>
      <c r="V414" s="117"/>
      <c r="W414" s="117"/>
      <c r="X414" s="117"/>
      <c r="Y414" s="117"/>
      <c r="Z414" s="117"/>
      <c r="AA414" s="117"/>
      <c r="AB414" s="117"/>
      <c r="AC414" s="117"/>
      <c r="AD414" s="117"/>
      <c r="AE414" s="117"/>
      <c r="AF414" s="74"/>
      <c r="AG414" s="117"/>
      <c r="AH414" s="117"/>
      <c r="AI414" s="117"/>
      <c r="AJ414" s="117"/>
      <c r="AK414" s="117"/>
      <c r="AL414" s="117"/>
      <c r="AM414" s="117"/>
      <c r="AN414" s="117"/>
      <c r="AO414" s="117"/>
      <c r="AP414" s="117"/>
      <c r="AQ414" s="117"/>
      <c r="AR414" s="117"/>
      <c r="AS414" s="145"/>
      <c r="AU414" s="117"/>
      <c r="AV414" s="45"/>
      <c r="AY414" s="162"/>
      <c r="BF414" s="45"/>
      <c r="BG414" s="246"/>
      <c r="BI414" s="138"/>
      <c r="BJ414" s="54"/>
      <c r="BK414" s="74"/>
      <c r="BL414" s="117"/>
      <c r="BM414" s="117"/>
      <c r="BN414" s="117"/>
      <c r="BO414" s="117"/>
      <c r="BP414" s="117"/>
      <c r="BQ414" s="117"/>
      <c r="BR414" s="117"/>
      <c r="BS414" s="117"/>
      <c r="BT414" s="117"/>
      <c r="BU414" s="117"/>
      <c r="BV414" s="117"/>
      <c r="BW414" s="117"/>
      <c r="BX414" s="117"/>
      <c r="BY414" s="117"/>
      <c r="CA414" s="102"/>
      <c r="CC414" s="86"/>
      <c r="CE414" s="102"/>
      <c r="CJ414" s="86"/>
      <c r="CP414" s="63"/>
      <c r="CQ414" s="54"/>
      <c r="CX414" s="86"/>
      <c r="DM414" s="342"/>
      <c r="DO414" s="63"/>
      <c r="DP414" s="86"/>
      <c r="ED414" s="54"/>
      <c r="EF414" s="63"/>
      <c r="EG414" s="86"/>
      <c r="EP414" s="63"/>
      <c r="EQ414" s="54"/>
      <c r="ER414" s="86"/>
      <c r="FF414" s="54"/>
      <c r="FG414" s="86"/>
      <c r="FO414" s="45"/>
      <c r="FT414" s="86"/>
      <c r="FW414" s="63"/>
      <c r="FX414" s="54"/>
      <c r="GB414" s="86"/>
      <c r="GK414" s="45"/>
      <c r="GL414" s="54"/>
      <c r="GS414" s="86"/>
      <c r="HC414" s="63"/>
      <c r="HJ414" s="86"/>
      <c r="HT414" s="63"/>
      <c r="HZ414" s="54"/>
      <c r="IA414" s="86"/>
      <c r="IJ414" s="54"/>
      <c r="IK414" s="86"/>
    </row>
    <row r="415" spans="1:245">
      <c r="A415" s="86">
        <v>385</v>
      </c>
      <c r="B415" s="117"/>
      <c r="C415" s="117"/>
      <c r="D415" s="117"/>
      <c r="E415" s="117"/>
      <c r="K415" s="117"/>
      <c r="L415" s="117"/>
      <c r="M415" s="117"/>
      <c r="N415" s="117"/>
      <c r="O415" s="117"/>
      <c r="P415" s="117"/>
      <c r="Q415" s="117"/>
      <c r="R415" s="63"/>
      <c r="S415" s="117"/>
      <c r="T415" s="117"/>
      <c r="U415" s="117"/>
      <c r="V415" s="117"/>
      <c r="W415" s="117"/>
      <c r="X415" s="117"/>
      <c r="Y415" s="117"/>
      <c r="Z415" s="117"/>
      <c r="AA415" s="117"/>
      <c r="AB415" s="117"/>
      <c r="AC415" s="117"/>
      <c r="AD415" s="117"/>
      <c r="AE415" s="117"/>
      <c r="AF415" s="74"/>
      <c r="AG415" s="117"/>
      <c r="AH415" s="117"/>
      <c r="AI415" s="117"/>
      <c r="AJ415" s="117"/>
      <c r="AK415" s="117"/>
      <c r="AL415" s="117"/>
      <c r="AM415" s="117"/>
      <c r="AN415" s="117"/>
      <c r="AO415" s="117"/>
      <c r="AP415" s="117"/>
      <c r="AQ415" s="117"/>
      <c r="AR415" s="117"/>
      <c r="AS415" s="145"/>
      <c r="AU415" s="117"/>
      <c r="AV415" s="45"/>
      <c r="AY415" s="162"/>
      <c r="BF415" s="45"/>
      <c r="BG415" s="246"/>
      <c r="BI415" s="138"/>
      <c r="BJ415" s="54"/>
      <c r="BK415" s="74"/>
      <c r="BL415" s="117"/>
      <c r="BM415" s="117"/>
      <c r="BN415" s="117"/>
      <c r="BO415" s="117"/>
      <c r="BP415" s="117"/>
      <c r="BQ415" s="117"/>
      <c r="BR415" s="117"/>
      <c r="BS415" s="117"/>
      <c r="BT415" s="117"/>
      <c r="BU415" s="117"/>
      <c r="BV415" s="117"/>
      <c r="BW415" s="117"/>
      <c r="BX415" s="117"/>
      <c r="BY415" s="117"/>
      <c r="CA415" s="102"/>
      <c r="CC415" s="86"/>
      <c r="CE415" s="102"/>
      <c r="CJ415" s="86"/>
      <c r="CP415" s="63"/>
      <c r="CQ415" s="54"/>
      <c r="CX415" s="86"/>
      <c r="DM415" s="342"/>
      <c r="DO415" s="63"/>
      <c r="DP415" s="86"/>
      <c r="ED415" s="54"/>
      <c r="EF415" s="63"/>
      <c r="EG415" s="86"/>
      <c r="EP415" s="63"/>
      <c r="EQ415" s="54"/>
      <c r="ER415" s="86"/>
      <c r="FF415" s="54"/>
      <c r="FG415" s="86"/>
      <c r="FO415" s="45"/>
      <c r="FT415" s="86"/>
      <c r="FW415" s="63"/>
      <c r="FX415" s="54"/>
      <c r="GB415" s="86"/>
      <c r="GK415" s="45"/>
      <c r="GL415" s="54"/>
      <c r="GS415" s="86"/>
      <c r="HC415" s="63"/>
      <c r="HJ415" s="86"/>
      <c r="HT415" s="63"/>
      <c r="HZ415" s="54"/>
      <c r="IA415" s="86"/>
      <c r="IJ415" s="54"/>
      <c r="IK415" s="86"/>
    </row>
    <row r="416" spans="1:245">
      <c r="A416" s="86">
        <v>386</v>
      </c>
      <c r="B416" s="117"/>
      <c r="C416" s="117"/>
      <c r="D416" s="117"/>
      <c r="E416" s="117"/>
      <c r="K416" s="117"/>
      <c r="L416" s="117"/>
      <c r="M416" s="117"/>
      <c r="N416" s="117"/>
      <c r="O416" s="117"/>
      <c r="P416" s="117"/>
      <c r="Q416" s="117"/>
      <c r="R416" s="63"/>
      <c r="S416" s="117"/>
      <c r="T416" s="117"/>
      <c r="U416" s="117"/>
      <c r="V416" s="117"/>
      <c r="W416" s="117"/>
      <c r="X416" s="117"/>
      <c r="Y416" s="117"/>
      <c r="Z416" s="117"/>
      <c r="AA416" s="117"/>
      <c r="AB416" s="117"/>
      <c r="AC416" s="117"/>
      <c r="AD416" s="117"/>
      <c r="AE416" s="117"/>
      <c r="AF416" s="74"/>
      <c r="AG416" s="117"/>
      <c r="AH416" s="117"/>
      <c r="AI416" s="117"/>
      <c r="AJ416" s="117"/>
      <c r="AK416" s="117"/>
      <c r="AL416" s="117"/>
      <c r="AM416" s="117"/>
      <c r="AN416" s="117"/>
      <c r="AO416" s="117"/>
      <c r="AP416" s="117"/>
      <c r="AQ416" s="117"/>
      <c r="AR416" s="117"/>
      <c r="AS416" s="145"/>
      <c r="AU416" s="117"/>
      <c r="AV416" s="45"/>
      <c r="AY416" s="162"/>
      <c r="BF416" s="45"/>
      <c r="BG416" s="246"/>
      <c r="BI416" s="138"/>
      <c r="BJ416" s="54"/>
      <c r="BK416" s="74"/>
      <c r="BL416" s="117"/>
      <c r="BM416" s="117"/>
      <c r="BN416" s="117"/>
      <c r="BO416" s="117"/>
      <c r="BP416" s="117"/>
      <c r="BQ416" s="117"/>
      <c r="BR416" s="117"/>
      <c r="BS416" s="117"/>
      <c r="BT416" s="117"/>
      <c r="BU416" s="117"/>
      <c r="BV416" s="117"/>
      <c r="BW416" s="117"/>
      <c r="BX416" s="117"/>
      <c r="BY416" s="117"/>
      <c r="CA416" s="102"/>
      <c r="CC416" s="86"/>
      <c r="CE416" s="102"/>
      <c r="CJ416" s="86"/>
      <c r="CP416" s="63"/>
      <c r="CQ416" s="54"/>
      <c r="CX416" s="86"/>
      <c r="DM416" s="342"/>
      <c r="DO416" s="63"/>
      <c r="DP416" s="86"/>
      <c r="ED416" s="54"/>
      <c r="EF416" s="63"/>
      <c r="EG416" s="86"/>
      <c r="EP416" s="63"/>
      <c r="EQ416" s="54"/>
      <c r="ER416" s="86"/>
      <c r="FF416" s="54"/>
      <c r="FG416" s="86"/>
      <c r="FO416" s="45"/>
      <c r="FT416" s="86"/>
      <c r="FW416" s="63"/>
      <c r="FX416" s="54"/>
      <c r="GB416" s="86"/>
      <c r="GK416" s="45"/>
      <c r="GL416" s="54"/>
      <c r="GS416" s="86"/>
      <c r="HC416" s="63"/>
      <c r="HJ416" s="86"/>
      <c r="HT416" s="63"/>
      <c r="HZ416" s="54"/>
      <c r="IA416" s="86"/>
      <c r="IJ416" s="54"/>
      <c r="IK416" s="86"/>
    </row>
    <row r="417" spans="1:245">
      <c r="A417" s="86">
        <v>387</v>
      </c>
      <c r="B417" s="117"/>
      <c r="C417" s="117"/>
      <c r="D417" s="117"/>
      <c r="E417" s="117"/>
      <c r="K417" s="117"/>
      <c r="L417" s="117"/>
      <c r="M417" s="117"/>
      <c r="N417" s="117"/>
      <c r="O417" s="117"/>
      <c r="P417" s="117"/>
      <c r="Q417" s="117"/>
      <c r="R417" s="63"/>
      <c r="S417" s="117"/>
      <c r="T417" s="117"/>
      <c r="U417" s="117"/>
      <c r="V417" s="117"/>
      <c r="W417" s="117"/>
      <c r="X417" s="117"/>
      <c r="Y417" s="117"/>
      <c r="Z417" s="117"/>
      <c r="AA417" s="117"/>
      <c r="AB417" s="117"/>
      <c r="AC417" s="117"/>
      <c r="AD417" s="117"/>
      <c r="AE417" s="117"/>
      <c r="AF417" s="74"/>
      <c r="AG417" s="117"/>
      <c r="AH417" s="117"/>
      <c r="AI417" s="117"/>
      <c r="AJ417" s="117"/>
      <c r="AK417" s="117"/>
      <c r="AL417" s="117"/>
      <c r="AM417" s="117"/>
      <c r="AN417" s="117"/>
      <c r="AO417" s="117"/>
      <c r="AP417" s="117"/>
      <c r="AQ417" s="117"/>
      <c r="AR417" s="117"/>
      <c r="AS417" s="145"/>
      <c r="AU417" s="117"/>
      <c r="AV417" s="45"/>
      <c r="AY417" s="162"/>
      <c r="BF417" s="45"/>
      <c r="BG417" s="246"/>
      <c r="BI417" s="138"/>
      <c r="BJ417" s="54"/>
      <c r="BK417" s="74"/>
      <c r="BL417" s="117"/>
      <c r="BM417" s="117"/>
      <c r="BN417" s="117"/>
      <c r="BO417" s="117"/>
      <c r="BP417" s="117"/>
      <c r="BQ417" s="117"/>
      <c r="BR417" s="117"/>
      <c r="BS417" s="117"/>
      <c r="BT417" s="117"/>
      <c r="BU417" s="117"/>
      <c r="BV417" s="117"/>
      <c r="BW417" s="117"/>
      <c r="BX417" s="117"/>
      <c r="BY417" s="117"/>
      <c r="CA417" s="102"/>
      <c r="CC417" s="86"/>
      <c r="CE417" s="102"/>
      <c r="CJ417" s="86"/>
      <c r="CP417" s="63"/>
      <c r="CQ417" s="54"/>
      <c r="CX417" s="86"/>
      <c r="DM417" s="342"/>
      <c r="DO417" s="63"/>
      <c r="DP417" s="86"/>
      <c r="ED417" s="54"/>
      <c r="EF417" s="63"/>
      <c r="EG417" s="86"/>
      <c r="EP417" s="63"/>
      <c r="EQ417" s="54"/>
      <c r="ER417" s="86"/>
      <c r="FF417" s="54"/>
      <c r="FG417" s="86"/>
      <c r="FO417" s="45"/>
      <c r="FT417" s="86"/>
      <c r="FW417" s="63"/>
      <c r="FX417" s="54"/>
      <c r="GB417" s="86"/>
      <c r="GK417" s="45"/>
      <c r="GL417" s="54"/>
      <c r="GS417" s="86"/>
      <c r="HC417" s="63"/>
      <c r="HJ417" s="86"/>
      <c r="HT417" s="63"/>
      <c r="HZ417" s="54"/>
      <c r="IA417" s="86"/>
      <c r="IJ417" s="54"/>
      <c r="IK417" s="86"/>
    </row>
    <row r="418" spans="1:245">
      <c r="A418" s="86">
        <v>388</v>
      </c>
      <c r="B418" s="117"/>
      <c r="C418" s="117"/>
      <c r="D418" s="117"/>
      <c r="E418" s="117"/>
      <c r="K418" s="117"/>
      <c r="L418" s="117"/>
      <c r="M418" s="117"/>
      <c r="N418" s="117"/>
      <c r="O418" s="117"/>
      <c r="P418" s="117"/>
      <c r="Q418" s="117"/>
      <c r="R418" s="63"/>
      <c r="S418" s="117"/>
      <c r="T418" s="117"/>
      <c r="U418" s="117"/>
      <c r="V418" s="117"/>
      <c r="W418" s="117"/>
      <c r="X418" s="117"/>
      <c r="Y418" s="117"/>
      <c r="Z418" s="117"/>
      <c r="AA418" s="117"/>
      <c r="AB418" s="117"/>
      <c r="AC418" s="117"/>
      <c r="AD418" s="117"/>
      <c r="AE418" s="117"/>
      <c r="AF418" s="74"/>
      <c r="AG418" s="117"/>
      <c r="AH418" s="117"/>
      <c r="AI418" s="117"/>
      <c r="AJ418" s="117"/>
      <c r="AK418" s="117"/>
      <c r="AL418" s="117"/>
      <c r="AM418" s="117"/>
      <c r="AN418" s="117"/>
      <c r="AO418" s="117"/>
      <c r="AP418" s="117"/>
      <c r="AQ418" s="117"/>
      <c r="AR418" s="117"/>
      <c r="AS418" s="145"/>
      <c r="AU418" s="117"/>
      <c r="AV418" s="45"/>
      <c r="AY418" s="162"/>
      <c r="BF418" s="45"/>
      <c r="BG418" s="246"/>
      <c r="BI418" s="138"/>
      <c r="BJ418" s="54"/>
      <c r="BK418" s="74"/>
      <c r="BL418" s="117"/>
      <c r="BM418" s="117"/>
      <c r="BN418" s="117"/>
      <c r="BO418" s="117"/>
      <c r="BP418" s="117"/>
      <c r="BQ418" s="117"/>
      <c r="BR418" s="117"/>
      <c r="BS418" s="117"/>
      <c r="BT418" s="117"/>
      <c r="BU418" s="117"/>
      <c r="BV418" s="117"/>
      <c r="BW418" s="117"/>
      <c r="BX418" s="117"/>
      <c r="BY418" s="117"/>
      <c r="CA418" s="102"/>
      <c r="CC418" s="86"/>
      <c r="CE418" s="102"/>
      <c r="CJ418" s="86"/>
      <c r="CP418" s="63"/>
      <c r="CQ418" s="54"/>
      <c r="CX418" s="86"/>
      <c r="DM418" s="342"/>
      <c r="DO418" s="63"/>
      <c r="DP418" s="86"/>
      <c r="ED418" s="54"/>
      <c r="EF418" s="63"/>
      <c r="EG418" s="86"/>
      <c r="EP418" s="63"/>
      <c r="EQ418" s="54"/>
      <c r="ER418" s="86"/>
      <c r="FF418" s="54"/>
      <c r="FG418" s="86"/>
      <c r="FO418" s="45"/>
      <c r="FT418" s="86"/>
      <c r="FW418" s="63"/>
      <c r="FX418" s="54"/>
      <c r="GB418" s="86"/>
      <c r="GK418" s="45"/>
      <c r="GL418" s="54"/>
      <c r="GS418" s="86"/>
      <c r="HC418" s="63"/>
      <c r="HJ418" s="86"/>
      <c r="HT418" s="63"/>
      <c r="HZ418" s="54"/>
      <c r="IA418" s="86"/>
      <c r="IJ418" s="54"/>
      <c r="IK418" s="86"/>
    </row>
    <row r="419" spans="1:245">
      <c r="A419" s="86">
        <v>389</v>
      </c>
      <c r="B419" s="117"/>
      <c r="C419" s="117"/>
      <c r="D419" s="117"/>
      <c r="E419" s="117"/>
      <c r="K419" s="117"/>
      <c r="L419" s="117"/>
      <c r="M419" s="117"/>
      <c r="N419" s="117"/>
      <c r="O419" s="117"/>
      <c r="P419" s="117"/>
      <c r="Q419" s="117"/>
      <c r="R419" s="63"/>
      <c r="S419" s="117"/>
      <c r="T419" s="117"/>
      <c r="U419" s="117"/>
      <c r="V419" s="117"/>
      <c r="W419" s="117"/>
      <c r="X419" s="117"/>
      <c r="Y419" s="117"/>
      <c r="Z419" s="117"/>
      <c r="AA419" s="117"/>
      <c r="AB419" s="117"/>
      <c r="AC419" s="117"/>
      <c r="AD419" s="117"/>
      <c r="AE419" s="117"/>
      <c r="AF419" s="74"/>
      <c r="AG419" s="117"/>
      <c r="AH419" s="117"/>
      <c r="AI419" s="117"/>
      <c r="AJ419" s="117"/>
      <c r="AK419" s="117"/>
      <c r="AL419" s="117"/>
      <c r="AM419" s="117"/>
      <c r="AN419" s="117"/>
      <c r="AO419" s="117"/>
      <c r="AP419" s="117"/>
      <c r="AQ419" s="117"/>
      <c r="AR419" s="117"/>
      <c r="AS419" s="145"/>
      <c r="AU419" s="117"/>
      <c r="AV419" s="45"/>
      <c r="AY419" s="162"/>
      <c r="BF419" s="45"/>
      <c r="BG419" s="246"/>
      <c r="BI419" s="138"/>
      <c r="BJ419" s="54"/>
      <c r="BK419" s="74"/>
      <c r="BL419" s="117"/>
      <c r="BM419" s="117"/>
      <c r="BN419" s="117"/>
      <c r="BO419" s="117"/>
      <c r="BP419" s="117"/>
      <c r="BQ419" s="117"/>
      <c r="BR419" s="117"/>
      <c r="BS419" s="117"/>
      <c r="BT419" s="117"/>
      <c r="BU419" s="117"/>
      <c r="BV419" s="117"/>
      <c r="BW419" s="117"/>
      <c r="BX419" s="117"/>
      <c r="BY419" s="117"/>
      <c r="CA419" s="102"/>
      <c r="CC419" s="86"/>
      <c r="CE419" s="102"/>
      <c r="CJ419" s="86"/>
      <c r="CP419" s="63"/>
      <c r="CQ419" s="54"/>
      <c r="CX419" s="86"/>
      <c r="DM419" s="342"/>
      <c r="DO419" s="63"/>
      <c r="DP419" s="86"/>
      <c r="ED419" s="54"/>
      <c r="EF419" s="63"/>
      <c r="EG419" s="86"/>
      <c r="EP419" s="63"/>
      <c r="EQ419" s="54"/>
      <c r="ER419" s="86"/>
      <c r="FF419" s="54"/>
      <c r="FG419" s="86"/>
      <c r="FO419" s="45"/>
      <c r="FT419" s="86"/>
      <c r="FW419" s="63"/>
      <c r="FX419" s="54"/>
      <c r="GB419" s="86"/>
      <c r="GK419" s="45"/>
      <c r="GL419" s="54"/>
      <c r="GS419" s="86"/>
      <c r="HC419" s="63"/>
      <c r="HJ419" s="86"/>
      <c r="HT419" s="63"/>
      <c r="HZ419" s="54"/>
      <c r="IA419" s="86"/>
      <c r="IJ419" s="54"/>
      <c r="IK419" s="86"/>
    </row>
    <row r="420" spans="1:245">
      <c r="A420" s="86">
        <v>390</v>
      </c>
      <c r="B420" s="117"/>
      <c r="C420" s="117"/>
      <c r="D420" s="117"/>
      <c r="E420" s="117"/>
      <c r="K420" s="117"/>
      <c r="L420" s="117"/>
      <c r="M420" s="117"/>
      <c r="N420" s="117"/>
      <c r="O420" s="117"/>
      <c r="P420" s="117"/>
      <c r="Q420" s="117"/>
      <c r="R420" s="63"/>
      <c r="S420" s="117"/>
      <c r="T420" s="117"/>
      <c r="U420" s="117"/>
      <c r="V420" s="117"/>
      <c r="W420" s="117"/>
      <c r="X420" s="117"/>
      <c r="Y420" s="117"/>
      <c r="Z420" s="117"/>
      <c r="AA420" s="117"/>
      <c r="AB420" s="117"/>
      <c r="AC420" s="117"/>
      <c r="AD420" s="117"/>
      <c r="AE420" s="117"/>
      <c r="AF420" s="74"/>
      <c r="AG420" s="117"/>
      <c r="AH420" s="117"/>
      <c r="AI420" s="117"/>
      <c r="AJ420" s="117"/>
      <c r="AK420" s="117"/>
      <c r="AL420" s="117"/>
      <c r="AM420" s="117"/>
      <c r="AN420" s="117"/>
      <c r="AO420" s="117"/>
      <c r="AP420" s="117"/>
      <c r="AQ420" s="117"/>
      <c r="AR420" s="117"/>
      <c r="AS420" s="145"/>
      <c r="AU420" s="117"/>
      <c r="AV420" s="45"/>
      <c r="AY420" s="162"/>
      <c r="BF420" s="45"/>
      <c r="BG420" s="246"/>
      <c r="BI420" s="138"/>
      <c r="BJ420" s="54"/>
      <c r="BK420" s="74"/>
      <c r="BL420" s="117"/>
      <c r="BM420" s="117"/>
      <c r="BN420" s="117"/>
      <c r="BO420" s="117"/>
      <c r="BP420" s="117"/>
      <c r="BQ420" s="117"/>
      <c r="BR420" s="117"/>
      <c r="BS420" s="117"/>
      <c r="BT420" s="117"/>
      <c r="BU420" s="117"/>
      <c r="BV420" s="117"/>
      <c r="BW420" s="117"/>
      <c r="BX420" s="117"/>
      <c r="BY420" s="117"/>
      <c r="CA420" s="102"/>
      <c r="CC420" s="86"/>
      <c r="CE420" s="102"/>
      <c r="CJ420" s="86"/>
      <c r="CP420" s="63"/>
      <c r="CQ420" s="54"/>
      <c r="CX420" s="86"/>
      <c r="DM420" s="342"/>
      <c r="DO420" s="63"/>
      <c r="DP420" s="86"/>
      <c r="ED420" s="54"/>
      <c r="EF420" s="63"/>
      <c r="EG420" s="86"/>
      <c r="EP420" s="63"/>
      <c r="EQ420" s="54"/>
      <c r="ER420" s="86"/>
      <c r="FF420" s="54"/>
      <c r="FG420" s="86"/>
      <c r="FO420" s="45"/>
      <c r="FT420" s="86"/>
      <c r="FW420" s="63"/>
      <c r="FX420" s="54"/>
      <c r="GB420" s="86"/>
      <c r="GK420" s="45"/>
      <c r="GL420" s="54"/>
      <c r="GS420" s="86"/>
      <c r="HC420" s="63"/>
      <c r="HJ420" s="86"/>
      <c r="HT420" s="63"/>
      <c r="HZ420" s="54"/>
      <c r="IA420" s="86"/>
      <c r="IJ420" s="54"/>
      <c r="IK420" s="86"/>
    </row>
    <row r="421" spans="1:245">
      <c r="A421" s="86">
        <v>391</v>
      </c>
      <c r="B421" s="117"/>
      <c r="C421" s="117"/>
      <c r="D421" s="117"/>
      <c r="E421" s="117"/>
      <c r="K421" s="117"/>
      <c r="L421" s="117"/>
      <c r="M421" s="117"/>
      <c r="N421" s="117"/>
      <c r="O421" s="117"/>
      <c r="P421" s="117"/>
      <c r="Q421" s="117"/>
      <c r="R421" s="63"/>
      <c r="S421" s="117"/>
      <c r="T421" s="117"/>
      <c r="U421" s="117"/>
      <c r="V421" s="117"/>
      <c r="W421" s="117"/>
      <c r="X421" s="117"/>
      <c r="Y421" s="117"/>
      <c r="Z421" s="117"/>
      <c r="AA421" s="117"/>
      <c r="AB421" s="117"/>
      <c r="AC421" s="117"/>
      <c r="AD421" s="117"/>
      <c r="AE421" s="117"/>
      <c r="AF421" s="74"/>
      <c r="AG421" s="117"/>
      <c r="AH421" s="117"/>
      <c r="AI421" s="117"/>
      <c r="AJ421" s="117"/>
      <c r="AK421" s="117"/>
      <c r="AL421" s="117"/>
      <c r="AM421" s="117"/>
      <c r="AN421" s="117"/>
      <c r="AO421" s="117"/>
      <c r="AP421" s="117"/>
      <c r="AQ421" s="117"/>
      <c r="AR421" s="117"/>
      <c r="AS421" s="145"/>
      <c r="AU421" s="117"/>
      <c r="AV421" s="45"/>
      <c r="AY421" s="162"/>
      <c r="BF421" s="45"/>
      <c r="BG421" s="246"/>
      <c r="BI421" s="138"/>
      <c r="BJ421" s="54"/>
      <c r="BK421" s="74"/>
      <c r="BL421" s="117"/>
      <c r="BM421" s="117"/>
      <c r="BN421" s="117"/>
      <c r="BO421" s="117"/>
      <c r="BP421" s="117"/>
      <c r="BQ421" s="117"/>
      <c r="BR421" s="117"/>
      <c r="BS421" s="117"/>
      <c r="BT421" s="117"/>
      <c r="BU421" s="117"/>
      <c r="BV421" s="117"/>
      <c r="BW421" s="117"/>
      <c r="BX421" s="117"/>
      <c r="BY421" s="117"/>
      <c r="CA421" s="102"/>
      <c r="CC421" s="86"/>
      <c r="CE421" s="102"/>
      <c r="CJ421" s="86"/>
      <c r="CP421" s="63"/>
      <c r="CQ421" s="54"/>
      <c r="CX421" s="86"/>
      <c r="DM421" s="342"/>
      <c r="DO421" s="63"/>
      <c r="DP421" s="86"/>
      <c r="ED421" s="54"/>
      <c r="EF421" s="63"/>
      <c r="EG421" s="86"/>
      <c r="EP421" s="63"/>
      <c r="EQ421" s="54"/>
      <c r="ER421" s="86"/>
      <c r="FF421" s="54"/>
      <c r="FG421" s="86"/>
      <c r="FO421" s="45"/>
      <c r="FT421" s="86"/>
      <c r="FW421" s="63"/>
      <c r="FX421" s="54"/>
      <c r="GB421" s="86"/>
      <c r="GK421" s="45"/>
      <c r="GL421" s="54"/>
      <c r="GS421" s="86"/>
      <c r="HC421" s="63"/>
      <c r="HJ421" s="86"/>
      <c r="HT421" s="63"/>
      <c r="HZ421" s="54"/>
      <c r="IA421" s="86"/>
      <c r="IJ421" s="54"/>
      <c r="IK421" s="86"/>
    </row>
    <row r="422" spans="1:245">
      <c r="A422" s="86">
        <v>392</v>
      </c>
      <c r="B422" s="117"/>
      <c r="C422" s="117"/>
      <c r="D422" s="117"/>
      <c r="E422" s="117"/>
      <c r="K422" s="117"/>
      <c r="L422" s="117"/>
      <c r="M422" s="117"/>
      <c r="N422" s="117"/>
      <c r="O422" s="117"/>
      <c r="P422" s="117"/>
      <c r="Q422" s="117"/>
      <c r="R422" s="63"/>
      <c r="S422" s="117"/>
      <c r="T422" s="117"/>
      <c r="U422" s="117"/>
      <c r="V422" s="117"/>
      <c r="W422" s="117"/>
      <c r="X422" s="117"/>
      <c r="Y422" s="117"/>
      <c r="Z422" s="117"/>
      <c r="AA422" s="117"/>
      <c r="AB422" s="117"/>
      <c r="AC422" s="117"/>
      <c r="AD422" s="117"/>
      <c r="AE422" s="117"/>
      <c r="AF422" s="74"/>
      <c r="AG422" s="117"/>
      <c r="AH422" s="117"/>
      <c r="AI422" s="117"/>
      <c r="AJ422" s="117"/>
      <c r="AK422" s="117"/>
      <c r="AL422" s="117"/>
      <c r="AM422" s="117"/>
      <c r="AN422" s="117"/>
      <c r="AO422" s="117"/>
      <c r="AP422" s="117"/>
      <c r="AQ422" s="117"/>
      <c r="AR422" s="117"/>
      <c r="AS422" s="145"/>
      <c r="AU422" s="117"/>
      <c r="AV422" s="45"/>
      <c r="AY422" s="162"/>
      <c r="BF422" s="45"/>
      <c r="BG422" s="246"/>
      <c r="BI422" s="138"/>
      <c r="BJ422" s="54"/>
      <c r="BK422" s="74"/>
      <c r="BL422" s="117"/>
      <c r="BM422" s="117"/>
      <c r="BN422" s="117"/>
      <c r="BO422" s="117"/>
      <c r="BP422" s="117"/>
      <c r="BQ422" s="117"/>
      <c r="BR422" s="117"/>
      <c r="BS422" s="117"/>
      <c r="BT422" s="117"/>
      <c r="BU422" s="117"/>
      <c r="BV422" s="117"/>
      <c r="BW422" s="117"/>
      <c r="BX422" s="117"/>
      <c r="BY422" s="117"/>
      <c r="CA422" s="102"/>
      <c r="CC422" s="86"/>
      <c r="CE422" s="102"/>
      <c r="CJ422" s="86"/>
      <c r="CP422" s="63"/>
      <c r="CQ422" s="54"/>
      <c r="CX422" s="86"/>
      <c r="DM422" s="342"/>
      <c r="DO422" s="63"/>
      <c r="DP422" s="86"/>
      <c r="ED422" s="54"/>
      <c r="EF422" s="63"/>
      <c r="EG422" s="86"/>
      <c r="EP422" s="63"/>
      <c r="EQ422" s="54"/>
      <c r="ER422" s="86"/>
      <c r="FF422" s="54"/>
      <c r="FG422" s="86"/>
      <c r="FO422" s="45"/>
      <c r="FT422" s="86"/>
      <c r="FW422" s="63"/>
      <c r="FX422" s="54"/>
      <c r="GB422" s="86"/>
      <c r="GK422" s="45"/>
      <c r="GL422" s="54"/>
      <c r="GS422" s="86"/>
      <c r="HC422" s="63"/>
      <c r="HJ422" s="86"/>
      <c r="HT422" s="63"/>
      <c r="HZ422" s="54"/>
      <c r="IA422" s="86"/>
      <c r="IJ422" s="54"/>
      <c r="IK422" s="86"/>
    </row>
    <row r="423" spans="1:245">
      <c r="A423" s="86">
        <v>393</v>
      </c>
      <c r="B423" s="117"/>
      <c r="C423" s="117"/>
      <c r="D423" s="117"/>
      <c r="E423" s="117"/>
      <c r="K423" s="117"/>
      <c r="L423" s="117"/>
      <c r="M423" s="117"/>
      <c r="N423" s="117"/>
      <c r="O423" s="117"/>
      <c r="P423" s="117"/>
      <c r="Q423" s="117"/>
      <c r="R423" s="63"/>
      <c r="S423" s="117"/>
      <c r="T423" s="117"/>
      <c r="U423" s="117"/>
      <c r="V423" s="117"/>
      <c r="W423" s="117"/>
      <c r="X423" s="117"/>
      <c r="Y423" s="117"/>
      <c r="Z423" s="117"/>
      <c r="AA423" s="117"/>
      <c r="AB423" s="117"/>
      <c r="AC423" s="117"/>
      <c r="AD423" s="117"/>
      <c r="AE423" s="117"/>
      <c r="AF423" s="74"/>
      <c r="AG423" s="117"/>
      <c r="AH423" s="117"/>
      <c r="AI423" s="117"/>
      <c r="AJ423" s="117"/>
      <c r="AK423" s="117"/>
      <c r="AL423" s="117"/>
      <c r="AM423" s="117"/>
      <c r="AN423" s="117"/>
      <c r="AO423" s="117"/>
      <c r="AP423" s="117"/>
      <c r="AQ423" s="117"/>
      <c r="AR423" s="117"/>
      <c r="AS423" s="145"/>
      <c r="AU423" s="117"/>
      <c r="AV423" s="45"/>
      <c r="AY423" s="162"/>
      <c r="BF423" s="45"/>
      <c r="BG423" s="246"/>
      <c r="BI423" s="138"/>
      <c r="BJ423" s="54"/>
      <c r="BK423" s="74"/>
      <c r="BL423" s="117"/>
      <c r="BM423" s="117"/>
      <c r="BN423" s="117"/>
      <c r="BO423" s="117"/>
      <c r="BP423" s="117"/>
      <c r="BQ423" s="117"/>
      <c r="BR423" s="117"/>
      <c r="BS423" s="117"/>
      <c r="BT423" s="117"/>
      <c r="BU423" s="117"/>
      <c r="BV423" s="117"/>
      <c r="BW423" s="117"/>
      <c r="BX423" s="117"/>
      <c r="BY423" s="117"/>
      <c r="CA423" s="102"/>
      <c r="CC423" s="86"/>
      <c r="CE423" s="102"/>
      <c r="CJ423" s="86"/>
      <c r="CP423" s="63"/>
      <c r="CQ423" s="54"/>
      <c r="CX423" s="86"/>
      <c r="DM423" s="342"/>
      <c r="DO423" s="63"/>
      <c r="DP423" s="86"/>
      <c r="ED423" s="54"/>
      <c r="EF423" s="63"/>
      <c r="EG423" s="86"/>
      <c r="EP423" s="63"/>
      <c r="EQ423" s="54"/>
      <c r="ER423" s="86"/>
      <c r="FF423" s="54"/>
      <c r="FG423" s="86"/>
      <c r="FO423" s="45"/>
      <c r="FT423" s="86"/>
      <c r="FW423" s="63"/>
      <c r="FX423" s="54"/>
      <c r="GB423" s="86"/>
      <c r="GK423" s="45"/>
      <c r="GL423" s="54"/>
      <c r="GS423" s="86"/>
      <c r="HC423" s="63"/>
      <c r="HJ423" s="86"/>
      <c r="HT423" s="63"/>
      <c r="HZ423" s="54"/>
      <c r="IA423" s="86"/>
      <c r="IJ423" s="54"/>
      <c r="IK423" s="86"/>
    </row>
    <row r="424" spans="1:245">
      <c r="A424" s="86">
        <v>394</v>
      </c>
      <c r="B424" s="117"/>
      <c r="C424" s="117"/>
      <c r="D424" s="117"/>
      <c r="E424" s="117"/>
      <c r="K424" s="117"/>
      <c r="L424" s="117"/>
      <c r="M424" s="117"/>
      <c r="N424" s="117"/>
      <c r="O424" s="117"/>
      <c r="P424" s="117"/>
      <c r="Q424" s="117"/>
      <c r="R424" s="63"/>
      <c r="S424" s="117"/>
      <c r="T424" s="117"/>
      <c r="U424" s="117"/>
      <c r="V424" s="117"/>
      <c r="W424" s="117"/>
      <c r="X424" s="117"/>
      <c r="Y424" s="117"/>
      <c r="Z424" s="117"/>
      <c r="AA424" s="117"/>
      <c r="AB424" s="117"/>
      <c r="AC424" s="117"/>
      <c r="AD424" s="117"/>
      <c r="AE424" s="117"/>
      <c r="AF424" s="74"/>
      <c r="AG424" s="117"/>
      <c r="AH424" s="117"/>
      <c r="AI424" s="117"/>
      <c r="AJ424" s="117"/>
      <c r="AK424" s="117"/>
      <c r="AL424" s="117"/>
      <c r="AM424" s="117"/>
      <c r="AN424" s="117"/>
      <c r="AO424" s="117"/>
      <c r="AP424" s="117"/>
      <c r="AQ424" s="117"/>
      <c r="AR424" s="117"/>
      <c r="AS424" s="145"/>
      <c r="AU424" s="117"/>
      <c r="AV424" s="45"/>
      <c r="AY424" s="162"/>
      <c r="BF424" s="45"/>
      <c r="BG424" s="246"/>
      <c r="BI424" s="138"/>
      <c r="BJ424" s="54"/>
      <c r="BK424" s="74"/>
      <c r="BL424" s="117"/>
      <c r="BM424" s="117"/>
      <c r="BN424" s="117"/>
      <c r="BO424" s="117"/>
      <c r="BP424" s="117"/>
      <c r="BQ424" s="117"/>
      <c r="BR424" s="117"/>
      <c r="BS424" s="117"/>
      <c r="BT424" s="117"/>
      <c r="BU424" s="117"/>
      <c r="BV424" s="117"/>
      <c r="BW424" s="117"/>
      <c r="BX424" s="117"/>
      <c r="BY424" s="117"/>
      <c r="CA424" s="102"/>
      <c r="CC424" s="86"/>
      <c r="CE424" s="102"/>
      <c r="CJ424" s="86"/>
      <c r="CP424" s="63"/>
      <c r="CQ424" s="54"/>
      <c r="CX424" s="86"/>
      <c r="DM424" s="342"/>
      <c r="DO424" s="63"/>
      <c r="DP424" s="86"/>
      <c r="ED424" s="54"/>
      <c r="EF424" s="63"/>
      <c r="EG424" s="86"/>
      <c r="EP424" s="63"/>
      <c r="EQ424" s="54"/>
      <c r="ER424" s="86"/>
      <c r="FF424" s="54"/>
      <c r="FG424" s="86"/>
      <c r="FO424" s="45"/>
      <c r="FT424" s="86"/>
      <c r="FW424" s="63"/>
      <c r="FX424" s="54"/>
      <c r="GB424" s="86"/>
      <c r="GK424" s="45"/>
      <c r="GL424" s="54"/>
      <c r="GS424" s="86"/>
      <c r="HC424" s="63"/>
      <c r="HJ424" s="86"/>
      <c r="HT424" s="63"/>
      <c r="HZ424" s="54"/>
      <c r="IA424" s="86"/>
      <c r="IJ424" s="54"/>
      <c r="IK424" s="86"/>
    </row>
    <row r="425" spans="1:245">
      <c r="A425" s="86">
        <v>395</v>
      </c>
      <c r="B425" s="117"/>
      <c r="C425" s="117"/>
      <c r="D425" s="117"/>
      <c r="E425" s="117"/>
      <c r="K425" s="117"/>
      <c r="L425" s="117"/>
      <c r="M425" s="117"/>
      <c r="N425" s="117"/>
      <c r="O425" s="117"/>
      <c r="P425" s="117"/>
      <c r="Q425" s="117"/>
      <c r="R425" s="63"/>
      <c r="S425" s="117"/>
      <c r="T425" s="117"/>
      <c r="U425" s="117"/>
      <c r="V425" s="117"/>
      <c r="W425" s="117"/>
      <c r="X425" s="117"/>
      <c r="Y425" s="117"/>
      <c r="Z425" s="117"/>
      <c r="AA425" s="117"/>
      <c r="AB425" s="117"/>
      <c r="AC425" s="117"/>
      <c r="AD425" s="117"/>
      <c r="AE425" s="117"/>
      <c r="AF425" s="74"/>
      <c r="AG425" s="117"/>
      <c r="AH425" s="117"/>
      <c r="AI425" s="117"/>
      <c r="AJ425" s="117"/>
      <c r="AK425" s="117"/>
      <c r="AL425" s="117"/>
      <c r="AM425" s="117"/>
      <c r="AN425" s="117"/>
      <c r="AO425" s="117"/>
      <c r="AP425" s="117"/>
      <c r="AQ425" s="117"/>
      <c r="AR425" s="117"/>
      <c r="AS425" s="145"/>
      <c r="AU425" s="117"/>
      <c r="AV425" s="45"/>
      <c r="AY425" s="162"/>
      <c r="BF425" s="45"/>
      <c r="BG425" s="246"/>
      <c r="BI425" s="138"/>
      <c r="BJ425" s="54"/>
      <c r="BK425" s="74"/>
      <c r="BL425" s="117"/>
      <c r="BM425" s="117"/>
      <c r="BN425" s="117"/>
      <c r="BO425" s="117"/>
      <c r="BP425" s="117"/>
      <c r="BQ425" s="117"/>
      <c r="BR425" s="117"/>
      <c r="BS425" s="117"/>
      <c r="BT425" s="117"/>
      <c r="BU425" s="117"/>
      <c r="BV425" s="117"/>
      <c r="BW425" s="117"/>
      <c r="BX425" s="117"/>
      <c r="BY425" s="117"/>
      <c r="CA425" s="102"/>
      <c r="CC425" s="86"/>
      <c r="CE425" s="102"/>
      <c r="CJ425" s="86"/>
      <c r="CP425" s="63"/>
      <c r="CQ425" s="54"/>
      <c r="CX425" s="86"/>
      <c r="DM425" s="342"/>
      <c r="DO425" s="63"/>
      <c r="DP425" s="86"/>
      <c r="ED425" s="54"/>
      <c r="EF425" s="63"/>
      <c r="EG425" s="86"/>
      <c r="EP425" s="63"/>
      <c r="EQ425" s="54"/>
      <c r="ER425" s="86"/>
      <c r="FF425" s="54"/>
      <c r="FG425" s="86"/>
      <c r="FO425" s="45"/>
      <c r="FT425" s="86"/>
      <c r="FW425" s="63"/>
      <c r="FX425" s="54"/>
      <c r="GB425" s="86"/>
      <c r="GK425" s="45"/>
      <c r="GL425" s="54"/>
      <c r="GS425" s="86"/>
      <c r="HC425" s="63"/>
      <c r="HJ425" s="86"/>
      <c r="HT425" s="63"/>
      <c r="HZ425" s="54"/>
      <c r="IA425" s="86"/>
      <c r="IJ425" s="54"/>
      <c r="IK425" s="86"/>
    </row>
    <row r="426" spans="1:245">
      <c r="A426" s="86">
        <v>396</v>
      </c>
      <c r="B426" s="117"/>
      <c r="C426" s="117"/>
      <c r="D426" s="117"/>
      <c r="E426" s="117"/>
      <c r="K426" s="117"/>
      <c r="L426" s="117"/>
      <c r="M426" s="117"/>
      <c r="N426" s="117"/>
      <c r="O426" s="117"/>
      <c r="P426" s="117"/>
      <c r="Q426" s="117"/>
      <c r="R426" s="63"/>
      <c r="S426" s="117"/>
      <c r="T426" s="117"/>
      <c r="U426" s="117"/>
      <c r="V426" s="117"/>
      <c r="W426" s="117"/>
      <c r="X426" s="117"/>
      <c r="Y426" s="117"/>
      <c r="Z426" s="117"/>
      <c r="AA426" s="117"/>
      <c r="AB426" s="117"/>
      <c r="AC426" s="117"/>
      <c r="AD426" s="117"/>
      <c r="AE426" s="117"/>
      <c r="AF426" s="74"/>
      <c r="AG426" s="117"/>
      <c r="AH426" s="117"/>
      <c r="AI426" s="117"/>
      <c r="AJ426" s="117"/>
      <c r="AK426" s="117"/>
      <c r="AL426" s="117"/>
      <c r="AM426" s="117"/>
      <c r="AN426" s="117"/>
      <c r="AO426" s="117"/>
      <c r="AP426" s="117"/>
      <c r="AQ426" s="117"/>
      <c r="AR426" s="117"/>
      <c r="AS426" s="145"/>
      <c r="AU426" s="117"/>
      <c r="AV426" s="45"/>
      <c r="AY426" s="162"/>
      <c r="BF426" s="45"/>
      <c r="BG426" s="246"/>
      <c r="BI426" s="138"/>
      <c r="BJ426" s="54"/>
      <c r="BK426" s="74"/>
      <c r="BL426" s="117"/>
      <c r="BM426" s="117"/>
      <c r="BN426" s="117"/>
      <c r="BO426" s="117"/>
      <c r="BP426" s="117"/>
      <c r="BQ426" s="117"/>
      <c r="BR426" s="117"/>
      <c r="BS426" s="117"/>
      <c r="BT426" s="117"/>
      <c r="BU426" s="117"/>
      <c r="BV426" s="117"/>
      <c r="BW426" s="117"/>
      <c r="BX426" s="117"/>
      <c r="BY426" s="117"/>
      <c r="CA426" s="102"/>
      <c r="CC426" s="86"/>
      <c r="CE426" s="102"/>
      <c r="CJ426" s="86"/>
      <c r="CP426" s="63"/>
      <c r="CQ426" s="54"/>
      <c r="CX426" s="86"/>
      <c r="DM426" s="342"/>
      <c r="DO426" s="63"/>
      <c r="DP426" s="86"/>
      <c r="ED426" s="54"/>
      <c r="EF426" s="63"/>
      <c r="EG426" s="86"/>
      <c r="EP426" s="63"/>
      <c r="EQ426" s="54"/>
      <c r="ER426" s="86"/>
      <c r="FF426" s="54"/>
      <c r="FG426" s="86"/>
      <c r="FO426" s="45"/>
      <c r="FT426" s="86"/>
      <c r="FW426" s="63"/>
      <c r="FX426" s="54"/>
      <c r="GB426" s="86"/>
      <c r="GK426" s="45"/>
      <c r="GL426" s="54"/>
      <c r="GS426" s="86"/>
      <c r="HC426" s="63"/>
      <c r="HJ426" s="86"/>
      <c r="HT426" s="63"/>
      <c r="HZ426" s="54"/>
      <c r="IA426" s="86"/>
      <c r="IJ426" s="54"/>
      <c r="IK426" s="86"/>
    </row>
    <row r="427" spans="1:245">
      <c r="A427" s="86">
        <v>397</v>
      </c>
      <c r="B427" s="117"/>
      <c r="C427" s="117"/>
      <c r="D427" s="117"/>
      <c r="E427" s="117"/>
      <c r="K427" s="117"/>
      <c r="L427" s="117"/>
      <c r="M427" s="117"/>
      <c r="N427" s="117"/>
      <c r="O427" s="117"/>
      <c r="P427" s="117"/>
      <c r="Q427" s="117"/>
      <c r="R427" s="63"/>
      <c r="S427" s="117"/>
      <c r="T427" s="117"/>
      <c r="U427" s="117"/>
      <c r="V427" s="117"/>
      <c r="W427" s="117"/>
      <c r="X427" s="117"/>
      <c r="Y427" s="117"/>
      <c r="Z427" s="117"/>
      <c r="AA427" s="117"/>
      <c r="AB427" s="117"/>
      <c r="AC427" s="117"/>
      <c r="AD427" s="117"/>
      <c r="AE427" s="117"/>
      <c r="AF427" s="74"/>
      <c r="AG427" s="117"/>
      <c r="AH427" s="117"/>
      <c r="AI427" s="117"/>
      <c r="AJ427" s="117"/>
      <c r="AK427" s="117"/>
      <c r="AL427" s="117"/>
      <c r="AM427" s="117"/>
      <c r="AN427" s="117"/>
      <c r="AO427" s="117"/>
      <c r="AP427" s="117"/>
      <c r="AQ427" s="117"/>
      <c r="AR427" s="117"/>
      <c r="AS427" s="145"/>
      <c r="AU427" s="117"/>
      <c r="AV427" s="45"/>
      <c r="AY427" s="162"/>
      <c r="BF427" s="45"/>
      <c r="BG427" s="246"/>
      <c r="BI427" s="138"/>
      <c r="BJ427" s="54"/>
      <c r="BK427" s="74"/>
      <c r="BL427" s="117"/>
      <c r="BM427" s="117"/>
      <c r="BN427" s="117"/>
      <c r="BO427" s="117"/>
      <c r="BP427" s="117"/>
      <c r="BQ427" s="117"/>
      <c r="BR427" s="117"/>
      <c r="BS427" s="117"/>
      <c r="BT427" s="117"/>
      <c r="BU427" s="117"/>
      <c r="BV427" s="117"/>
      <c r="BW427" s="117"/>
      <c r="BX427" s="117"/>
      <c r="BY427" s="117"/>
      <c r="CA427" s="102"/>
      <c r="CC427" s="86"/>
      <c r="CE427" s="102"/>
      <c r="CJ427" s="86"/>
      <c r="CP427" s="63"/>
      <c r="CQ427" s="54"/>
      <c r="CX427" s="86"/>
      <c r="DM427" s="342"/>
      <c r="DO427" s="63"/>
      <c r="DP427" s="86"/>
      <c r="ED427" s="54"/>
      <c r="EF427" s="63"/>
      <c r="EG427" s="86"/>
      <c r="EP427" s="63"/>
      <c r="EQ427" s="54"/>
      <c r="ER427" s="86"/>
      <c r="FF427" s="54"/>
      <c r="FG427" s="86"/>
      <c r="FO427" s="45"/>
      <c r="FT427" s="86"/>
      <c r="FW427" s="63"/>
      <c r="FX427" s="54"/>
      <c r="GB427" s="86"/>
      <c r="GK427" s="45"/>
      <c r="GL427" s="54"/>
      <c r="GS427" s="86"/>
      <c r="HC427" s="63"/>
      <c r="HJ427" s="86"/>
      <c r="HT427" s="63"/>
      <c r="HZ427" s="54"/>
      <c r="IA427" s="86"/>
      <c r="IJ427" s="54"/>
      <c r="IK427" s="86"/>
    </row>
    <row r="428" spans="1:245">
      <c r="A428" s="86">
        <v>398</v>
      </c>
      <c r="B428" s="117"/>
      <c r="C428" s="117"/>
      <c r="D428" s="117"/>
      <c r="E428" s="117"/>
      <c r="K428" s="117"/>
      <c r="L428" s="117"/>
      <c r="M428" s="117"/>
      <c r="N428" s="117"/>
      <c r="O428" s="117"/>
      <c r="P428" s="117"/>
      <c r="Q428" s="117"/>
      <c r="R428" s="63"/>
      <c r="S428" s="117"/>
      <c r="T428" s="117"/>
      <c r="U428" s="117"/>
      <c r="V428" s="117"/>
      <c r="W428" s="117"/>
      <c r="X428" s="117"/>
      <c r="Y428" s="117"/>
      <c r="Z428" s="117"/>
      <c r="AA428" s="117"/>
      <c r="AB428" s="117"/>
      <c r="AC428" s="117"/>
      <c r="AD428" s="117"/>
      <c r="AE428" s="117"/>
      <c r="AF428" s="74"/>
      <c r="AG428" s="117"/>
      <c r="AH428" s="117"/>
      <c r="AI428" s="117"/>
      <c r="AJ428" s="117"/>
      <c r="AK428" s="117"/>
      <c r="AL428" s="117"/>
      <c r="AM428" s="117"/>
      <c r="AN428" s="117"/>
      <c r="AO428" s="117"/>
      <c r="AP428" s="117"/>
      <c r="AQ428" s="117"/>
      <c r="AR428" s="117"/>
      <c r="AS428" s="145"/>
      <c r="AU428" s="117"/>
      <c r="AV428" s="45"/>
      <c r="AY428" s="162"/>
      <c r="BF428" s="45"/>
      <c r="BG428" s="246"/>
      <c r="BI428" s="138"/>
      <c r="BJ428" s="54"/>
      <c r="BK428" s="74"/>
      <c r="BL428" s="117"/>
      <c r="BM428" s="117"/>
      <c r="BN428" s="117"/>
      <c r="BO428" s="117"/>
      <c r="BP428" s="117"/>
      <c r="BQ428" s="117"/>
      <c r="BR428" s="117"/>
      <c r="BS428" s="117"/>
      <c r="BT428" s="117"/>
      <c r="BU428" s="117"/>
      <c r="BV428" s="117"/>
      <c r="BW428" s="117"/>
      <c r="BX428" s="117"/>
      <c r="BY428" s="117"/>
      <c r="CA428" s="102"/>
      <c r="CC428" s="86"/>
      <c r="CE428" s="102"/>
      <c r="CJ428" s="86"/>
      <c r="CP428" s="63"/>
      <c r="CQ428" s="54"/>
      <c r="CX428" s="86"/>
      <c r="DM428" s="342"/>
      <c r="DO428" s="63"/>
      <c r="DP428" s="86"/>
      <c r="ED428" s="54"/>
      <c r="EF428" s="63"/>
      <c r="EG428" s="86"/>
      <c r="EP428" s="63"/>
      <c r="EQ428" s="54"/>
      <c r="ER428" s="86"/>
      <c r="FF428" s="54"/>
      <c r="FG428" s="86"/>
      <c r="FO428" s="45"/>
      <c r="FT428" s="86"/>
      <c r="FW428" s="63"/>
      <c r="FX428" s="54"/>
      <c r="GB428" s="86"/>
      <c r="GK428" s="45"/>
      <c r="GL428" s="54"/>
      <c r="GS428" s="86"/>
      <c r="HC428" s="63"/>
      <c r="HJ428" s="86"/>
      <c r="HT428" s="63"/>
      <c r="HZ428" s="54"/>
      <c r="IA428" s="86"/>
      <c r="IJ428" s="54"/>
      <c r="IK428" s="86"/>
    </row>
    <row r="429" spans="1:245">
      <c r="A429" s="86">
        <v>399</v>
      </c>
      <c r="B429" s="117"/>
      <c r="C429" s="117"/>
      <c r="D429" s="117"/>
      <c r="E429" s="117"/>
      <c r="K429" s="117"/>
      <c r="L429" s="117"/>
      <c r="M429" s="117"/>
      <c r="N429" s="117"/>
      <c r="O429" s="117"/>
      <c r="P429" s="117"/>
      <c r="Q429" s="117"/>
      <c r="R429" s="63"/>
      <c r="S429" s="117"/>
      <c r="T429" s="117"/>
      <c r="U429" s="117"/>
      <c r="V429" s="117"/>
      <c r="W429" s="117"/>
      <c r="X429" s="117"/>
      <c r="Y429" s="117"/>
      <c r="Z429" s="117"/>
      <c r="AA429" s="117"/>
      <c r="AB429" s="117"/>
      <c r="AC429" s="117"/>
      <c r="AD429" s="117"/>
      <c r="AE429" s="117"/>
      <c r="AF429" s="74"/>
      <c r="AG429" s="117"/>
      <c r="AH429" s="117"/>
      <c r="AI429" s="117"/>
      <c r="AJ429" s="117"/>
      <c r="AK429" s="117"/>
      <c r="AL429" s="117"/>
      <c r="AM429" s="117"/>
      <c r="AN429" s="117"/>
      <c r="AO429" s="117"/>
      <c r="AP429" s="117"/>
      <c r="AQ429" s="117"/>
      <c r="AR429" s="117"/>
      <c r="AS429" s="145"/>
      <c r="AU429" s="117"/>
      <c r="AV429" s="45"/>
      <c r="AY429" s="162"/>
      <c r="BF429" s="45"/>
      <c r="BG429" s="246"/>
      <c r="BI429" s="138"/>
      <c r="BJ429" s="54"/>
      <c r="BK429" s="74"/>
      <c r="BL429" s="117"/>
      <c r="BM429" s="117"/>
      <c r="BN429" s="117"/>
      <c r="BO429" s="117"/>
      <c r="BP429" s="117"/>
      <c r="BQ429" s="117"/>
      <c r="BR429" s="117"/>
      <c r="BS429" s="117"/>
      <c r="BT429" s="117"/>
      <c r="BU429" s="117"/>
      <c r="BV429" s="117"/>
      <c r="BW429" s="117"/>
      <c r="BX429" s="117"/>
      <c r="BY429" s="117"/>
      <c r="CA429" s="102"/>
      <c r="CC429" s="86"/>
      <c r="CE429" s="102"/>
      <c r="CJ429" s="86"/>
      <c r="CP429" s="63"/>
      <c r="CQ429" s="54"/>
      <c r="CX429" s="86"/>
      <c r="DM429" s="342"/>
      <c r="DO429" s="63"/>
      <c r="DP429" s="86"/>
      <c r="ED429" s="54"/>
      <c r="EF429" s="63"/>
      <c r="EG429" s="86"/>
      <c r="EP429" s="63"/>
      <c r="EQ429" s="54"/>
      <c r="ER429" s="86"/>
      <c r="FF429" s="54"/>
      <c r="FG429" s="86"/>
      <c r="FO429" s="45"/>
      <c r="FT429" s="86"/>
      <c r="FW429" s="63"/>
      <c r="FX429" s="54"/>
      <c r="GB429" s="86"/>
      <c r="GK429" s="45"/>
      <c r="GL429" s="54"/>
      <c r="GS429" s="86"/>
      <c r="HC429" s="63"/>
      <c r="HJ429" s="86"/>
      <c r="HT429" s="63"/>
      <c r="HZ429" s="54"/>
      <c r="IA429" s="86"/>
      <c r="IJ429" s="54"/>
      <c r="IK429" s="86"/>
    </row>
    <row r="430" spans="1:245">
      <c r="A430" s="86">
        <v>400</v>
      </c>
      <c r="B430" s="117"/>
      <c r="C430" s="117"/>
      <c r="D430" s="117"/>
      <c r="E430" s="117"/>
      <c r="K430" s="117"/>
      <c r="L430" s="117"/>
      <c r="M430" s="117"/>
      <c r="N430" s="117"/>
      <c r="O430" s="117"/>
      <c r="P430" s="117"/>
      <c r="Q430" s="117"/>
      <c r="R430" s="63"/>
      <c r="S430" s="117"/>
      <c r="T430" s="117"/>
      <c r="U430" s="117"/>
      <c r="V430" s="117"/>
      <c r="W430" s="117"/>
      <c r="X430" s="117"/>
      <c r="Y430" s="117"/>
      <c r="Z430" s="117"/>
      <c r="AA430" s="117"/>
      <c r="AB430" s="117"/>
      <c r="AC430" s="117"/>
      <c r="AD430" s="117"/>
      <c r="AE430" s="117"/>
      <c r="AF430" s="74"/>
      <c r="AG430" s="117"/>
      <c r="AH430" s="117"/>
      <c r="AI430" s="117"/>
      <c r="AJ430" s="117"/>
      <c r="AK430" s="117"/>
      <c r="AL430" s="117"/>
      <c r="AM430" s="117"/>
      <c r="AN430" s="117"/>
      <c r="AO430" s="117"/>
      <c r="AP430" s="117"/>
      <c r="AQ430" s="117"/>
      <c r="AR430" s="117"/>
      <c r="AS430" s="145"/>
      <c r="AU430" s="117"/>
      <c r="AV430" s="45"/>
      <c r="AY430" s="162"/>
      <c r="BF430" s="45"/>
      <c r="BG430" s="246"/>
      <c r="BI430" s="138"/>
      <c r="BJ430" s="54"/>
      <c r="BK430" s="74"/>
      <c r="BL430" s="117"/>
      <c r="BM430" s="117"/>
      <c r="BN430" s="117"/>
      <c r="BO430" s="117"/>
      <c r="BP430" s="117"/>
      <c r="BQ430" s="117"/>
      <c r="BR430" s="117"/>
      <c r="BS430" s="117"/>
      <c r="BT430" s="117"/>
      <c r="BU430" s="117"/>
      <c r="BV430" s="117"/>
      <c r="BW430" s="117"/>
      <c r="BX430" s="117"/>
      <c r="BY430" s="117"/>
      <c r="CA430" s="102"/>
      <c r="CC430" s="86"/>
      <c r="CE430" s="102"/>
      <c r="CJ430" s="86"/>
      <c r="CP430" s="63"/>
      <c r="CQ430" s="54"/>
      <c r="CX430" s="86"/>
      <c r="DM430" s="342"/>
      <c r="DO430" s="63"/>
      <c r="DP430" s="86"/>
      <c r="ED430" s="54"/>
      <c r="EF430" s="63"/>
      <c r="EG430" s="86"/>
      <c r="EP430" s="63"/>
      <c r="EQ430" s="54"/>
      <c r="ER430" s="86"/>
      <c r="FF430" s="54"/>
      <c r="FG430" s="86"/>
      <c r="FO430" s="45"/>
      <c r="FT430" s="86"/>
      <c r="FW430" s="63"/>
      <c r="FX430" s="54"/>
      <c r="GB430" s="86"/>
      <c r="GK430" s="45"/>
      <c r="GL430" s="54"/>
      <c r="GS430" s="86"/>
      <c r="HC430" s="63"/>
      <c r="HJ430" s="86"/>
      <c r="HT430" s="63"/>
      <c r="HZ430" s="54"/>
      <c r="IA430" s="86"/>
      <c r="IJ430" s="54"/>
      <c r="IK430" s="86"/>
    </row>
    <row r="431" spans="1:245">
      <c r="A431" s="86">
        <v>401</v>
      </c>
      <c r="B431" s="117"/>
      <c r="C431" s="117"/>
      <c r="D431" s="117"/>
      <c r="E431" s="117"/>
      <c r="K431" s="117"/>
      <c r="L431" s="117"/>
      <c r="M431" s="117"/>
      <c r="N431" s="117"/>
      <c r="O431" s="117"/>
      <c r="P431" s="117"/>
      <c r="Q431" s="117"/>
      <c r="R431" s="63"/>
      <c r="S431" s="117"/>
      <c r="T431" s="117"/>
      <c r="U431" s="117"/>
      <c r="V431" s="117"/>
      <c r="W431" s="117"/>
      <c r="X431" s="117"/>
      <c r="Y431" s="117"/>
      <c r="Z431" s="117"/>
      <c r="AA431" s="117"/>
      <c r="AB431" s="117"/>
      <c r="AC431" s="117"/>
      <c r="AD431" s="117"/>
      <c r="AE431" s="117"/>
      <c r="AF431" s="74"/>
      <c r="AG431" s="117"/>
      <c r="AH431" s="117"/>
      <c r="AI431" s="117"/>
      <c r="AJ431" s="117"/>
      <c r="AK431" s="117"/>
      <c r="AL431" s="117"/>
      <c r="AM431" s="117"/>
      <c r="AN431" s="117"/>
      <c r="AO431" s="117"/>
      <c r="AP431" s="117"/>
      <c r="AQ431" s="117"/>
      <c r="AR431" s="117"/>
      <c r="AS431" s="145"/>
      <c r="AU431" s="117"/>
      <c r="AV431" s="45"/>
      <c r="AY431" s="162"/>
      <c r="BF431" s="45"/>
      <c r="BG431" s="246"/>
      <c r="BI431" s="138"/>
      <c r="BJ431" s="54"/>
      <c r="BK431" s="74"/>
      <c r="BL431" s="117"/>
      <c r="BM431" s="117"/>
      <c r="BN431" s="117"/>
      <c r="BO431" s="117"/>
      <c r="BP431" s="117"/>
      <c r="BQ431" s="117"/>
      <c r="BR431" s="117"/>
      <c r="BS431" s="117"/>
      <c r="BT431" s="117"/>
      <c r="BU431" s="117"/>
      <c r="BV431" s="117"/>
      <c r="BW431" s="117"/>
      <c r="BX431" s="117"/>
      <c r="BY431" s="117"/>
      <c r="CA431" s="102"/>
      <c r="CC431" s="86"/>
      <c r="CE431" s="102"/>
      <c r="CJ431" s="86"/>
      <c r="CP431" s="63"/>
      <c r="CQ431" s="54"/>
      <c r="CX431" s="86"/>
      <c r="DM431" s="342"/>
      <c r="DO431" s="63"/>
      <c r="DP431" s="86"/>
      <c r="ED431" s="54"/>
      <c r="EF431" s="63"/>
      <c r="EG431" s="86"/>
      <c r="EP431" s="63"/>
      <c r="EQ431" s="54"/>
      <c r="ER431" s="86"/>
      <c r="FF431" s="54"/>
      <c r="FG431" s="86"/>
      <c r="FO431" s="45"/>
      <c r="FT431" s="86"/>
      <c r="FW431" s="63"/>
      <c r="FX431" s="54"/>
      <c r="GB431" s="86"/>
      <c r="GK431" s="45"/>
      <c r="GL431" s="54"/>
      <c r="GS431" s="86"/>
      <c r="HC431" s="63"/>
      <c r="HJ431" s="86"/>
      <c r="HT431" s="63"/>
      <c r="HZ431" s="54"/>
      <c r="IA431" s="86"/>
      <c r="IJ431" s="54"/>
      <c r="IK431" s="86"/>
    </row>
    <row r="432" spans="1:245">
      <c r="A432" s="86">
        <v>402</v>
      </c>
      <c r="B432" s="117"/>
      <c r="C432" s="117"/>
      <c r="D432" s="117"/>
      <c r="E432" s="117"/>
      <c r="K432" s="117"/>
      <c r="L432" s="117"/>
      <c r="M432" s="117"/>
      <c r="N432" s="117"/>
      <c r="O432" s="117"/>
      <c r="P432" s="117"/>
      <c r="Q432" s="117"/>
      <c r="R432" s="63"/>
      <c r="S432" s="117"/>
      <c r="T432" s="117"/>
      <c r="U432" s="117"/>
      <c r="V432" s="117"/>
      <c r="W432" s="117"/>
      <c r="X432" s="117"/>
      <c r="Y432" s="117"/>
      <c r="Z432" s="117"/>
      <c r="AA432" s="117"/>
      <c r="AB432" s="117"/>
      <c r="AC432" s="117"/>
      <c r="AD432" s="117"/>
      <c r="AE432" s="117"/>
      <c r="AF432" s="74"/>
      <c r="AG432" s="117"/>
      <c r="AH432" s="117"/>
      <c r="AI432" s="117"/>
      <c r="AJ432" s="117"/>
      <c r="AK432" s="117"/>
      <c r="AL432" s="117"/>
      <c r="AM432" s="117"/>
      <c r="AN432" s="117"/>
      <c r="AO432" s="117"/>
      <c r="AP432" s="117"/>
      <c r="AQ432" s="117"/>
      <c r="AR432" s="117"/>
      <c r="AS432" s="145"/>
      <c r="AU432" s="117"/>
      <c r="AV432" s="45"/>
      <c r="AY432" s="162"/>
      <c r="BF432" s="45"/>
      <c r="BG432" s="246"/>
      <c r="BI432" s="138"/>
      <c r="BJ432" s="54"/>
      <c r="BK432" s="74"/>
      <c r="BL432" s="117"/>
      <c r="BM432" s="117"/>
      <c r="BN432" s="117"/>
      <c r="BO432" s="117"/>
      <c r="BP432" s="117"/>
      <c r="BQ432" s="117"/>
      <c r="BR432" s="117"/>
      <c r="BS432" s="117"/>
      <c r="BT432" s="117"/>
      <c r="BU432" s="117"/>
      <c r="BV432" s="117"/>
      <c r="BW432" s="117"/>
      <c r="BX432" s="117"/>
      <c r="BY432" s="117"/>
      <c r="CA432" s="102"/>
      <c r="CC432" s="86"/>
      <c r="CE432" s="102"/>
      <c r="CJ432" s="86"/>
      <c r="CP432" s="63"/>
      <c r="CQ432" s="54"/>
      <c r="CX432" s="86"/>
      <c r="DM432" s="342"/>
      <c r="DO432" s="63"/>
      <c r="DP432" s="86"/>
      <c r="ED432" s="54"/>
      <c r="EF432" s="63"/>
      <c r="EG432" s="86"/>
      <c r="EP432" s="63"/>
      <c r="EQ432" s="54"/>
      <c r="ER432" s="86"/>
      <c r="FF432" s="54"/>
      <c r="FG432" s="86"/>
      <c r="FO432" s="45"/>
      <c r="FT432" s="86"/>
      <c r="FW432" s="63"/>
      <c r="FX432" s="54"/>
      <c r="GB432" s="86"/>
      <c r="GK432" s="45"/>
      <c r="GL432" s="54"/>
      <c r="GS432" s="86"/>
      <c r="HC432" s="63"/>
      <c r="HJ432" s="86"/>
      <c r="HT432" s="63"/>
      <c r="HZ432" s="54"/>
      <c r="IA432" s="86"/>
      <c r="IJ432" s="54"/>
      <c r="IK432" s="86"/>
    </row>
    <row r="433" spans="1:245">
      <c r="A433" s="86">
        <v>403</v>
      </c>
      <c r="B433" s="117"/>
      <c r="C433" s="117"/>
      <c r="D433" s="117"/>
      <c r="E433" s="117"/>
      <c r="K433" s="117"/>
      <c r="L433" s="117"/>
      <c r="M433" s="117"/>
      <c r="N433" s="117"/>
      <c r="O433" s="117"/>
      <c r="P433" s="117"/>
      <c r="Q433" s="117"/>
      <c r="R433" s="63"/>
      <c r="S433" s="117"/>
      <c r="T433" s="117"/>
      <c r="U433" s="117"/>
      <c r="V433" s="117"/>
      <c r="W433" s="117"/>
      <c r="X433" s="117"/>
      <c r="Y433" s="117"/>
      <c r="Z433" s="117"/>
      <c r="AA433" s="117"/>
      <c r="AB433" s="117"/>
      <c r="AC433" s="117"/>
      <c r="AD433" s="117"/>
      <c r="AE433" s="117"/>
      <c r="AF433" s="74"/>
      <c r="AG433" s="117"/>
      <c r="AH433" s="117"/>
      <c r="AI433" s="117"/>
      <c r="AJ433" s="117"/>
      <c r="AK433" s="117"/>
      <c r="AL433" s="117"/>
      <c r="AM433" s="117"/>
      <c r="AN433" s="117"/>
      <c r="AO433" s="117"/>
      <c r="AP433" s="117"/>
      <c r="AQ433" s="117"/>
      <c r="AR433" s="117"/>
      <c r="AS433" s="145"/>
      <c r="AU433" s="117"/>
      <c r="AV433" s="45"/>
      <c r="AY433" s="162"/>
      <c r="BF433" s="45"/>
      <c r="BG433" s="246"/>
      <c r="BI433" s="138"/>
      <c r="BJ433" s="54"/>
      <c r="BK433" s="74"/>
      <c r="BL433" s="117"/>
      <c r="BM433" s="117"/>
      <c r="BN433" s="117"/>
      <c r="BO433" s="117"/>
      <c r="BP433" s="117"/>
      <c r="BQ433" s="117"/>
      <c r="BR433" s="117"/>
      <c r="BS433" s="117"/>
      <c r="BT433" s="117"/>
      <c r="BU433" s="117"/>
      <c r="BV433" s="117"/>
      <c r="BW433" s="117"/>
      <c r="BX433" s="117"/>
      <c r="BY433" s="117"/>
      <c r="CA433" s="102"/>
      <c r="CC433" s="86"/>
      <c r="CE433" s="102"/>
      <c r="CJ433" s="86"/>
      <c r="CP433" s="63"/>
      <c r="CQ433" s="54"/>
      <c r="CX433" s="86"/>
      <c r="DM433" s="342"/>
      <c r="DO433" s="63"/>
      <c r="DP433" s="86"/>
      <c r="ED433" s="54"/>
      <c r="EF433" s="63"/>
      <c r="EG433" s="86"/>
      <c r="EP433" s="63"/>
      <c r="EQ433" s="54"/>
      <c r="ER433" s="86"/>
      <c r="FF433" s="54"/>
      <c r="FG433" s="86"/>
      <c r="FO433" s="45"/>
      <c r="FT433" s="86"/>
      <c r="FW433" s="63"/>
      <c r="FX433" s="54"/>
      <c r="GB433" s="86"/>
      <c r="GK433" s="45"/>
      <c r="GL433" s="54"/>
      <c r="GS433" s="86"/>
      <c r="HC433" s="63"/>
      <c r="HJ433" s="86"/>
      <c r="HT433" s="63"/>
      <c r="HZ433" s="54"/>
      <c r="IA433" s="86"/>
      <c r="IJ433" s="54"/>
      <c r="IK433" s="86"/>
    </row>
    <row r="434" spans="1:245">
      <c r="A434" s="86">
        <v>404</v>
      </c>
      <c r="B434" s="117"/>
      <c r="C434" s="117"/>
      <c r="D434" s="117"/>
      <c r="E434" s="117"/>
      <c r="K434" s="117"/>
      <c r="L434" s="117"/>
      <c r="M434" s="117"/>
      <c r="N434" s="117"/>
      <c r="O434" s="117"/>
      <c r="P434" s="117"/>
      <c r="Q434" s="117"/>
      <c r="R434" s="63"/>
      <c r="S434" s="117"/>
      <c r="T434" s="117"/>
      <c r="U434" s="117"/>
      <c r="V434" s="117"/>
      <c r="W434" s="117"/>
      <c r="X434" s="117"/>
      <c r="Y434" s="117"/>
      <c r="Z434" s="117"/>
      <c r="AA434" s="117"/>
      <c r="AB434" s="117"/>
      <c r="AC434" s="117"/>
      <c r="AD434" s="117"/>
      <c r="AE434" s="117"/>
      <c r="AF434" s="74"/>
      <c r="AG434" s="117"/>
      <c r="AH434" s="117"/>
      <c r="AI434" s="117"/>
      <c r="AJ434" s="117"/>
      <c r="AK434" s="117"/>
      <c r="AL434" s="117"/>
      <c r="AM434" s="117"/>
      <c r="AN434" s="117"/>
      <c r="AO434" s="117"/>
      <c r="AP434" s="117"/>
      <c r="AQ434" s="117"/>
      <c r="AR434" s="117"/>
      <c r="AS434" s="145"/>
      <c r="AU434" s="117"/>
      <c r="AV434" s="45"/>
      <c r="AY434" s="162"/>
      <c r="BF434" s="45"/>
      <c r="BG434" s="246"/>
      <c r="BI434" s="138"/>
      <c r="BJ434" s="54"/>
      <c r="BK434" s="74"/>
      <c r="BL434" s="117"/>
      <c r="BM434" s="117"/>
      <c r="BN434" s="117"/>
      <c r="BO434" s="117"/>
      <c r="BP434" s="117"/>
      <c r="BQ434" s="117"/>
      <c r="BR434" s="117"/>
      <c r="BS434" s="117"/>
      <c r="BT434" s="117"/>
      <c r="BU434" s="117"/>
      <c r="BV434" s="117"/>
      <c r="BW434" s="117"/>
      <c r="BX434" s="117"/>
      <c r="BY434" s="117"/>
      <c r="CA434" s="102"/>
      <c r="CC434" s="86"/>
      <c r="CE434" s="102"/>
      <c r="CJ434" s="86"/>
      <c r="CP434" s="63"/>
      <c r="CQ434" s="54"/>
      <c r="CX434" s="86"/>
      <c r="DM434" s="342"/>
      <c r="DO434" s="63"/>
      <c r="DP434" s="86"/>
      <c r="ED434" s="54"/>
      <c r="EF434" s="63"/>
      <c r="EG434" s="86"/>
      <c r="EP434" s="63"/>
      <c r="EQ434" s="54"/>
      <c r="ER434" s="86"/>
      <c r="FF434" s="54"/>
      <c r="FG434" s="86"/>
      <c r="FO434" s="45"/>
      <c r="FT434" s="86"/>
      <c r="FW434" s="63"/>
      <c r="FX434" s="54"/>
      <c r="GB434" s="86"/>
      <c r="GK434" s="45"/>
      <c r="GL434" s="54"/>
      <c r="GS434" s="86"/>
      <c r="HC434" s="63"/>
      <c r="HJ434" s="86"/>
      <c r="HT434" s="63"/>
      <c r="HZ434" s="54"/>
      <c r="IA434" s="86"/>
      <c r="IJ434" s="54"/>
      <c r="IK434" s="86"/>
    </row>
    <row r="435" spans="1:245">
      <c r="A435" s="86">
        <v>405</v>
      </c>
      <c r="B435" s="117"/>
      <c r="C435" s="117"/>
      <c r="D435" s="117"/>
      <c r="E435" s="117"/>
      <c r="K435" s="117"/>
      <c r="L435" s="117"/>
      <c r="M435" s="117"/>
      <c r="N435" s="117"/>
      <c r="O435" s="117"/>
      <c r="P435" s="117"/>
      <c r="Q435" s="117"/>
      <c r="R435" s="63"/>
      <c r="S435" s="117"/>
      <c r="T435" s="117"/>
      <c r="U435" s="117"/>
      <c r="V435" s="117"/>
      <c r="W435" s="117"/>
      <c r="X435" s="117"/>
      <c r="Y435" s="117"/>
      <c r="Z435" s="117"/>
      <c r="AA435" s="117"/>
      <c r="AB435" s="117"/>
      <c r="AC435" s="117"/>
      <c r="AD435" s="117"/>
      <c r="AE435" s="117"/>
      <c r="AF435" s="74"/>
      <c r="AG435" s="117"/>
      <c r="AH435" s="117"/>
      <c r="AI435" s="117"/>
      <c r="AJ435" s="117"/>
      <c r="AK435" s="117"/>
      <c r="AL435" s="117"/>
      <c r="AM435" s="117"/>
      <c r="AN435" s="117"/>
      <c r="AO435" s="117"/>
      <c r="AP435" s="117"/>
      <c r="AQ435" s="117"/>
      <c r="AR435" s="117"/>
      <c r="AS435" s="145"/>
      <c r="AU435" s="117"/>
      <c r="AV435" s="45"/>
      <c r="AY435" s="162"/>
      <c r="BF435" s="45"/>
      <c r="BG435" s="246"/>
      <c r="BI435" s="138"/>
      <c r="BJ435" s="54"/>
      <c r="BK435" s="74"/>
      <c r="BL435" s="117"/>
      <c r="BM435" s="117"/>
      <c r="BN435" s="117"/>
      <c r="BO435" s="117"/>
      <c r="BP435" s="117"/>
      <c r="BQ435" s="117"/>
      <c r="BR435" s="117"/>
      <c r="BS435" s="117"/>
      <c r="BT435" s="117"/>
      <c r="BU435" s="117"/>
      <c r="BV435" s="117"/>
      <c r="BW435" s="117"/>
      <c r="BX435" s="117"/>
      <c r="BY435" s="117"/>
      <c r="CA435" s="102"/>
      <c r="CC435" s="86"/>
      <c r="CE435" s="102"/>
      <c r="CJ435" s="86"/>
      <c r="CP435" s="63"/>
      <c r="CQ435" s="54"/>
      <c r="CX435" s="86"/>
      <c r="DM435" s="342"/>
      <c r="DO435" s="63"/>
      <c r="DP435" s="86"/>
      <c r="ED435" s="54"/>
      <c r="EF435" s="63"/>
      <c r="EG435" s="86"/>
      <c r="EP435" s="63"/>
      <c r="EQ435" s="54"/>
      <c r="ER435" s="86"/>
      <c r="FF435" s="54"/>
      <c r="FG435" s="86"/>
      <c r="FO435" s="45"/>
      <c r="FT435" s="86"/>
      <c r="FW435" s="63"/>
      <c r="FX435" s="54"/>
      <c r="GB435" s="86"/>
      <c r="GK435" s="45"/>
      <c r="GL435" s="54"/>
      <c r="GS435" s="86"/>
      <c r="HC435" s="63"/>
      <c r="HJ435" s="86"/>
      <c r="HT435" s="63"/>
      <c r="HZ435" s="54"/>
      <c r="IA435" s="86"/>
      <c r="IJ435" s="54"/>
      <c r="IK435" s="86"/>
    </row>
    <row r="436" spans="1:245">
      <c r="A436" s="86">
        <v>406</v>
      </c>
      <c r="B436" s="117"/>
      <c r="C436" s="117"/>
      <c r="D436" s="117"/>
      <c r="E436" s="117"/>
      <c r="K436" s="117"/>
      <c r="L436" s="117"/>
      <c r="M436" s="117"/>
      <c r="N436" s="117"/>
      <c r="O436" s="117"/>
      <c r="P436" s="117"/>
      <c r="Q436" s="117"/>
      <c r="R436" s="63"/>
      <c r="S436" s="117"/>
      <c r="T436" s="117"/>
      <c r="U436" s="117"/>
      <c r="V436" s="117"/>
      <c r="W436" s="117"/>
      <c r="X436" s="117"/>
      <c r="Y436" s="117"/>
      <c r="Z436" s="117"/>
      <c r="AA436" s="117"/>
      <c r="AB436" s="117"/>
      <c r="AC436" s="117"/>
      <c r="AD436" s="117"/>
      <c r="AE436" s="117"/>
      <c r="AF436" s="74"/>
      <c r="AG436" s="117"/>
      <c r="AH436" s="117"/>
      <c r="AI436" s="117"/>
      <c r="AJ436" s="117"/>
      <c r="AK436" s="117"/>
      <c r="AL436" s="117"/>
      <c r="AM436" s="117"/>
      <c r="AN436" s="117"/>
      <c r="AO436" s="117"/>
      <c r="AP436" s="117"/>
      <c r="AQ436" s="117"/>
      <c r="AR436" s="117"/>
      <c r="AS436" s="145"/>
      <c r="AU436" s="117"/>
      <c r="AV436" s="45"/>
      <c r="AY436" s="162"/>
      <c r="BF436" s="45"/>
      <c r="BG436" s="246"/>
      <c r="BI436" s="138"/>
      <c r="BJ436" s="54"/>
      <c r="BK436" s="74"/>
      <c r="BL436" s="117"/>
      <c r="BM436" s="117"/>
      <c r="BN436" s="117"/>
      <c r="BO436" s="117"/>
      <c r="BP436" s="117"/>
      <c r="BQ436" s="117"/>
      <c r="BR436" s="117"/>
      <c r="BS436" s="117"/>
      <c r="BT436" s="117"/>
      <c r="BU436" s="117"/>
      <c r="BV436" s="117"/>
      <c r="BW436" s="117"/>
      <c r="BX436" s="117"/>
      <c r="BY436" s="117"/>
      <c r="CA436" s="102"/>
      <c r="CC436" s="86"/>
      <c r="CE436" s="102"/>
      <c r="CJ436" s="86"/>
      <c r="CP436" s="63"/>
      <c r="CQ436" s="54"/>
      <c r="CX436" s="86"/>
      <c r="DM436" s="342"/>
      <c r="DO436" s="63"/>
      <c r="DP436" s="86"/>
      <c r="ED436" s="54"/>
      <c r="EF436" s="63"/>
      <c r="EG436" s="86"/>
      <c r="EP436" s="63"/>
      <c r="EQ436" s="54"/>
      <c r="ER436" s="86"/>
      <c r="FF436" s="54"/>
      <c r="FG436" s="86"/>
      <c r="FO436" s="45"/>
      <c r="FT436" s="86"/>
      <c r="FW436" s="63"/>
      <c r="FX436" s="54"/>
      <c r="GB436" s="86"/>
      <c r="GK436" s="45"/>
      <c r="GL436" s="54"/>
      <c r="GS436" s="86"/>
      <c r="HC436" s="63"/>
      <c r="HJ436" s="86"/>
      <c r="HT436" s="63"/>
      <c r="HZ436" s="54"/>
      <c r="IA436" s="86"/>
      <c r="IJ436" s="54"/>
      <c r="IK436" s="86"/>
    </row>
    <row r="437" spans="1:245">
      <c r="A437" s="86">
        <v>407</v>
      </c>
      <c r="B437" s="117"/>
      <c r="C437" s="117"/>
      <c r="D437" s="117"/>
      <c r="E437" s="117"/>
      <c r="K437" s="117"/>
      <c r="L437" s="117"/>
      <c r="M437" s="117"/>
      <c r="N437" s="117"/>
      <c r="O437" s="117"/>
      <c r="P437" s="117"/>
      <c r="Q437" s="117"/>
      <c r="R437" s="63"/>
      <c r="S437" s="117"/>
      <c r="T437" s="117"/>
      <c r="U437" s="117"/>
      <c r="V437" s="117"/>
      <c r="W437" s="117"/>
      <c r="X437" s="117"/>
      <c r="Y437" s="117"/>
      <c r="Z437" s="117"/>
      <c r="AA437" s="117"/>
      <c r="AB437" s="117"/>
      <c r="AC437" s="117"/>
      <c r="AD437" s="117"/>
      <c r="AE437" s="117"/>
      <c r="AF437" s="74"/>
      <c r="AG437" s="117"/>
      <c r="AH437" s="117"/>
      <c r="AI437" s="117"/>
      <c r="AJ437" s="117"/>
      <c r="AK437" s="117"/>
      <c r="AL437" s="117"/>
      <c r="AM437" s="117"/>
      <c r="AN437" s="117"/>
      <c r="AO437" s="117"/>
      <c r="AP437" s="117"/>
      <c r="AQ437" s="117"/>
      <c r="AR437" s="117"/>
      <c r="AS437" s="145"/>
      <c r="AU437" s="117"/>
      <c r="AV437" s="45"/>
      <c r="AY437" s="162"/>
      <c r="BF437" s="45"/>
      <c r="BG437" s="246"/>
      <c r="BI437" s="138"/>
      <c r="BJ437" s="54"/>
      <c r="BK437" s="74"/>
      <c r="BL437" s="117"/>
      <c r="BM437" s="117"/>
      <c r="BN437" s="117"/>
      <c r="BO437" s="117"/>
      <c r="BP437" s="117"/>
      <c r="BQ437" s="117"/>
      <c r="BR437" s="117"/>
      <c r="BS437" s="117"/>
      <c r="BT437" s="117"/>
      <c r="BU437" s="117"/>
      <c r="BV437" s="117"/>
      <c r="BW437" s="117"/>
      <c r="BX437" s="117"/>
      <c r="BY437" s="117"/>
      <c r="CA437" s="102"/>
      <c r="CC437" s="86"/>
      <c r="CE437" s="102"/>
      <c r="CJ437" s="86"/>
      <c r="CP437" s="63"/>
      <c r="CQ437" s="54"/>
      <c r="CX437" s="86"/>
      <c r="DM437" s="342"/>
      <c r="DO437" s="63"/>
      <c r="DP437" s="86"/>
      <c r="ED437" s="54"/>
      <c r="EF437" s="63"/>
      <c r="EG437" s="86"/>
      <c r="EP437" s="63"/>
      <c r="EQ437" s="54"/>
      <c r="ER437" s="86"/>
      <c r="FF437" s="54"/>
      <c r="FG437" s="86"/>
      <c r="FO437" s="45"/>
      <c r="FT437" s="86"/>
      <c r="FW437" s="63"/>
      <c r="FX437" s="54"/>
      <c r="GB437" s="86"/>
      <c r="GK437" s="45"/>
      <c r="GL437" s="54"/>
      <c r="GS437" s="86"/>
      <c r="HC437" s="63"/>
      <c r="HJ437" s="86"/>
      <c r="HT437" s="63"/>
      <c r="HZ437" s="54"/>
      <c r="IA437" s="86"/>
      <c r="IJ437" s="54"/>
      <c r="IK437" s="86"/>
    </row>
    <row r="438" spans="1:245">
      <c r="A438" s="86">
        <v>408</v>
      </c>
      <c r="B438" s="117"/>
      <c r="C438" s="117"/>
      <c r="D438" s="117"/>
      <c r="E438" s="117"/>
      <c r="K438" s="117"/>
      <c r="L438" s="117"/>
      <c r="M438" s="117"/>
      <c r="N438" s="117"/>
      <c r="O438" s="117"/>
      <c r="P438" s="117"/>
      <c r="Q438" s="117"/>
      <c r="R438" s="63"/>
      <c r="S438" s="117"/>
      <c r="T438" s="117"/>
      <c r="U438" s="117"/>
      <c r="V438" s="117"/>
      <c r="W438" s="117"/>
      <c r="X438" s="117"/>
      <c r="Y438" s="117"/>
      <c r="Z438" s="117"/>
      <c r="AA438" s="117"/>
      <c r="AB438" s="117"/>
      <c r="AC438" s="117"/>
      <c r="AD438" s="117"/>
      <c r="AE438" s="117"/>
      <c r="AF438" s="74"/>
      <c r="AG438" s="117"/>
      <c r="AH438" s="117"/>
      <c r="AI438" s="117"/>
      <c r="AJ438" s="117"/>
      <c r="AK438" s="117"/>
      <c r="AL438" s="117"/>
      <c r="AM438" s="117"/>
      <c r="AN438" s="117"/>
      <c r="AO438" s="117"/>
      <c r="AP438" s="117"/>
      <c r="AQ438" s="117"/>
      <c r="AR438" s="117"/>
      <c r="AS438" s="145"/>
      <c r="AU438" s="117"/>
      <c r="AV438" s="45"/>
      <c r="AY438" s="162"/>
      <c r="BF438" s="45"/>
      <c r="BG438" s="246"/>
      <c r="BI438" s="138"/>
      <c r="BJ438" s="54"/>
      <c r="BK438" s="74"/>
      <c r="BL438" s="117"/>
      <c r="BM438" s="117"/>
      <c r="BN438" s="117"/>
      <c r="BO438" s="117"/>
      <c r="BP438" s="117"/>
      <c r="BQ438" s="117"/>
      <c r="BR438" s="117"/>
      <c r="BS438" s="117"/>
      <c r="BT438" s="117"/>
      <c r="BU438" s="117"/>
      <c r="BV438" s="117"/>
      <c r="BW438" s="117"/>
      <c r="BX438" s="117"/>
      <c r="BY438" s="117"/>
      <c r="CA438" s="102"/>
      <c r="CC438" s="86"/>
      <c r="CE438" s="102"/>
      <c r="CJ438" s="86"/>
      <c r="CP438" s="63"/>
      <c r="CQ438" s="54"/>
      <c r="CX438" s="86"/>
      <c r="DM438" s="342"/>
      <c r="DO438" s="63"/>
      <c r="DP438" s="86"/>
      <c r="ED438" s="54"/>
      <c r="EF438" s="63"/>
      <c r="EG438" s="86"/>
      <c r="EP438" s="63"/>
      <c r="EQ438" s="54"/>
      <c r="ER438" s="86"/>
      <c r="FF438" s="54"/>
      <c r="FG438" s="86"/>
      <c r="FO438" s="45"/>
      <c r="FT438" s="86"/>
      <c r="FW438" s="63"/>
      <c r="FX438" s="54"/>
      <c r="GB438" s="86"/>
      <c r="GK438" s="45"/>
      <c r="GL438" s="54"/>
      <c r="GS438" s="86"/>
      <c r="HC438" s="63"/>
      <c r="HJ438" s="86"/>
      <c r="HT438" s="63"/>
      <c r="HZ438" s="54"/>
      <c r="IA438" s="86"/>
      <c r="IJ438" s="54"/>
      <c r="IK438" s="86"/>
    </row>
    <row r="439" spans="1:245">
      <c r="A439" s="86">
        <v>409</v>
      </c>
      <c r="B439" s="117"/>
      <c r="C439" s="117"/>
      <c r="D439" s="117"/>
      <c r="E439" s="117"/>
      <c r="K439" s="117"/>
      <c r="L439" s="117"/>
      <c r="M439" s="117"/>
      <c r="N439" s="117"/>
      <c r="O439" s="117"/>
      <c r="P439" s="117"/>
      <c r="Q439" s="117"/>
      <c r="R439" s="63"/>
      <c r="S439" s="117"/>
      <c r="T439" s="117"/>
      <c r="U439" s="117"/>
      <c r="V439" s="117"/>
      <c r="W439" s="117"/>
      <c r="X439" s="117"/>
      <c r="Y439" s="117"/>
      <c r="Z439" s="117"/>
      <c r="AA439" s="117"/>
      <c r="AB439" s="117"/>
      <c r="AC439" s="117"/>
      <c r="AD439" s="117"/>
      <c r="AE439" s="117"/>
      <c r="AF439" s="74"/>
      <c r="AG439" s="117"/>
      <c r="AH439" s="117"/>
      <c r="AI439" s="117"/>
      <c r="AJ439" s="117"/>
      <c r="AK439" s="117"/>
      <c r="AL439" s="117"/>
      <c r="AM439" s="117"/>
      <c r="AN439" s="117"/>
      <c r="AO439" s="117"/>
      <c r="AP439" s="117"/>
      <c r="AQ439" s="117"/>
      <c r="AR439" s="117"/>
      <c r="AS439" s="145"/>
      <c r="AU439" s="117"/>
      <c r="AV439" s="45"/>
      <c r="AY439" s="162"/>
      <c r="BF439" s="45"/>
      <c r="BG439" s="246"/>
      <c r="BI439" s="138"/>
      <c r="BJ439" s="54"/>
      <c r="BK439" s="74"/>
      <c r="BL439" s="117"/>
      <c r="BM439" s="117"/>
      <c r="BN439" s="117"/>
      <c r="BO439" s="117"/>
      <c r="BP439" s="117"/>
      <c r="BQ439" s="117"/>
      <c r="BR439" s="117"/>
      <c r="BS439" s="117"/>
      <c r="BT439" s="117"/>
      <c r="BU439" s="117"/>
      <c r="BV439" s="117"/>
      <c r="BW439" s="117"/>
      <c r="BX439" s="117"/>
      <c r="BY439" s="117"/>
      <c r="CA439" s="102"/>
      <c r="CC439" s="86"/>
      <c r="CE439" s="102"/>
      <c r="CJ439" s="86"/>
      <c r="CP439" s="63"/>
      <c r="CQ439" s="54"/>
      <c r="CX439" s="86"/>
      <c r="DM439" s="342"/>
      <c r="DO439" s="63"/>
      <c r="DP439" s="86"/>
      <c r="ED439" s="54"/>
      <c r="EF439" s="63"/>
      <c r="EG439" s="86"/>
      <c r="EP439" s="63"/>
      <c r="EQ439" s="54"/>
      <c r="ER439" s="86"/>
      <c r="FF439" s="54"/>
      <c r="FG439" s="86"/>
      <c r="FO439" s="45"/>
      <c r="FT439" s="86"/>
      <c r="FW439" s="63"/>
      <c r="FX439" s="54"/>
      <c r="GB439" s="86"/>
      <c r="GK439" s="45"/>
      <c r="GL439" s="54"/>
      <c r="GS439" s="86"/>
      <c r="HC439" s="63"/>
      <c r="HJ439" s="86"/>
      <c r="HT439" s="63"/>
      <c r="HZ439" s="54"/>
      <c r="IA439" s="86"/>
      <c r="IJ439" s="54"/>
      <c r="IK439" s="86"/>
    </row>
    <row r="440" spans="1:245">
      <c r="A440" s="86">
        <v>410</v>
      </c>
      <c r="B440" s="117"/>
      <c r="C440" s="117"/>
      <c r="D440" s="117"/>
      <c r="E440" s="117"/>
      <c r="K440" s="117"/>
      <c r="L440" s="117"/>
      <c r="M440" s="117"/>
      <c r="N440" s="117"/>
      <c r="O440" s="117"/>
      <c r="P440" s="117"/>
      <c r="Q440" s="117"/>
      <c r="R440" s="63"/>
      <c r="S440" s="117"/>
      <c r="T440" s="117"/>
      <c r="U440" s="117"/>
      <c r="V440" s="117"/>
      <c r="W440" s="117"/>
      <c r="X440" s="117"/>
      <c r="Y440" s="117"/>
      <c r="Z440" s="117"/>
      <c r="AA440" s="117"/>
      <c r="AB440" s="117"/>
      <c r="AC440" s="117"/>
      <c r="AD440" s="117"/>
      <c r="AE440" s="117"/>
      <c r="AF440" s="74"/>
      <c r="AG440" s="117"/>
      <c r="AH440" s="117"/>
      <c r="AI440" s="117"/>
      <c r="AJ440" s="117"/>
      <c r="AK440" s="117"/>
      <c r="AL440" s="117"/>
      <c r="AM440" s="117"/>
      <c r="AN440" s="117"/>
      <c r="AO440" s="117"/>
      <c r="AP440" s="117"/>
      <c r="AQ440" s="117"/>
      <c r="AR440" s="117"/>
      <c r="AS440" s="145"/>
      <c r="AU440" s="117"/>
      <c r="AV440" s="45"/>
      <c r="AY440" s="162"/>
      <c r="BF440" s="45"/>
      <c r="BG440" s="246"/>
      <c r="BI440" s="138"/>
      <c r="BJ440" s="54"/>
      <c r="BK440" s="74"/>
      <c r="BL440" s="117"/>
      <c r="BM440" s="117"/>
      <c r="BN440" s="117"/>
      <c r="BO440" s="117"/>
      <c r="BP440" s="117"/>
      <c r="BQ440" s="117"/>
      <c r="BR440" s="117"/>
      <c r="BS440" s="117"/>
      <c r="BT440" s="117"/>
      <c r="BU440" s="117"/>
      <c r="BV440" s="117"/>
      <c r="BW440" s="117"/>
      <c r="BX440" s="117"/>
      <c r="BY440" s="117"/>
      <c r="CA440" s="102"/>
      <c r="CC440" s="86"/>
      <c r="CE440" s="102"/>
      <c r="CJ440" s="86"/>
      <c r="CP440" s="63"/>
      <c r="CQ440" s="54"/>
      <c r="CX440" s="86"/>
      <c r="DM440" s="342"/>
      <c r="DO440" s="63"/>
      <c r="DP440" s="86"/>
      <c r="ED440" s="54"/>
      <c r="EF440" s="63"/>
      <c r="EG440" s="86"/>
      <c r="EP440" s="63"/>
      <c r="EQ440" s="54"/>
      <c r="ER440" s="86"/>
      <c r="FF440" s="54"/>
      <c r="FG440" s="86"/>
      <c r="FO440" s="45"/>
      <c r="FT440" s="86"/>
      <c r="FW440" s="63"/>
      <c r="FX440" s="54"/>
      <c r="GB440" s="86"/>
      <c r="GK440" s="45"/>
      <c r="GL440" s="54"/>
      <c r="GS440" s="86"/>
      <c r="HC440" s="63"/>
      <c r="HJ440" s="86"/>
      <c r="HT440" s="63"/>
      <c r="HZ440" s="54"/>
      <c r="IA440" s="86"/>
      <c r="IJ440" s="54"/>
      <c r="IK440" s="86"/>
    </row>
    <row r="441" spans="1:245">
      <c r="A441" s="86">
        <v>411</v>
      </c>
      <c r="B441" s="117"/>
      <c r="C441" s="117"/>
      <c r="D441" s="117"/>
      <c r="E441" s="117"/>
      <c r="K441" s="117"/>
      <c r="L441" s="117"/>
      <c r="M441" s="117"/>
      <c r="N441" s="117"/>
      <c r="O441" s="117"/>
      <c r="P441" s="117"/>
      <c r="Q441" s="117"/>
      <c r="R441" s="63"/>
      <c r="S441" s="117"/>
      <c r="T441" s="117"/>
      <c r="U441" s="117"/>
      <c r="V441" s="117"/>
      <c r="W441" s="117"/>
      <c r="X441" s="117"/>
      <c r="Y441" s="117"/>
      <c r="Z441" s="117"/>
      <c r="AA441" s="117"/>
      <c r="AB441" s="117"/>
      <c r="AC441" s="117"/>
      <c r="AD441" s="117"/>
      <c r="AE441" s="117"/>
      <c r="AF441" s="74"/>
      <c r="AG441" s="117"/>
      <c r="AH441" s="117"/>
      <c r="AI441" s="117"/>
      <c r="AJ441" s="117"/>
      <c r="AK441" s="117"/>
      <c r="AL441" s="117"/>
      <c r="AM441" s="117"/>
      <c r="AN441" s="117"/>
      <c r="AO441" s="117"/>
      <c r="AP441" s="117"/>
      <c r="AQ441" s="117"/>
      <c r="AR441" s="117"/>
      <c r="AS441" s="145"/>
      <c r="AU441" s="117"/>
      <c r="AV441" s="45"/>
      <c r="AY441" s="162"/>
      <c r="BF441" s="45"/>
      <c r="BG441" s="246"/>
      <c r="BI441" s="138"/>
      <c r="BJ441" s="54"/>
      <c r="BK441" s="74"/>
      <c r="BL441" s="117"/>
      <c r="BM441" s="117"/>
      <c r="BN441" s="117"/>
      <c r="BO441" s="117"/>
      <c r="BP441" s="117"/>
      <c r="BQ441" s="117"/>
      <c r="BR441" s="117"/>
      <c r="BS441" s="117"/>
      <c r="BT441" s="117"/>
      <c r="BU441" s="117"/>
      <c r="BV441" s="117"/>
      <c r="BW441" s="117"/>
      <c r="BX441" s="117"/>
      <c r="BY441" s="117"/>
      <c r="CA441" s="102"/>
      <c r="CC441" s="86"/>
      <c r="CE441" s="102"/>
      <c r="CJ441" s="86"/>
      <c r="CP441" s="63"/>
      <c r="CQ441" s="54"/>
      <c r="CX441" s="86"/>
      <c r="DM441" s="342"/>
      <c r="DO441" s="63"/>
      <c r="DP441" s="86"/>
      <c r="ED441" s="54"/>
      <c r="EF441" s="63"/>
      <c r="EG441" s="86"/>
      <c r="EP441" s="63"/>
      <c r="EQ441" s="54"/>
      <c r="ER441" s="86"/>
      <c r="FF441" s="54"/>
      <c r="FG441" s="86"/>
      <c r="FO441" s="45"/>
      <c r="FT441" s="86"/>
      <c r="FW441" s="63"/>
      <c r="FX441" s="54"/>
      <c r="GB441" s="86"/>
      <c r="GK441" s="45"/>
      <c r="GL441" s="54"/>
      <c r="GS441" s="86"/>
      <c r="HC441" s="63"/>
      <c r="HJ441" s="86"/>
      <c r="HT441" s="63"/>
      <c r="HZ441" s="54"/>
      <c r="IA441" s="86"/>
      <c r="IJ441" s="54"/>
      <c r="IK441" s="86"/>
    </row>
    <row r="442" spans="1:245">
      <c r="A442" s="86">
        <v>412</v>
      </c>
      <c r="B442" s="117"/>
      <c r="C442" s="117"/>
      <c r="D442" s="117"/>
      <c r="E442" s="117"/>
      <c r="K442" s="117"/>
      <c r="L442" s="117"/>
      <c r="M442" s="117"/>
      <c r="N442" s="117"/>
      <c r="O442" s="117"/>
      <c r="P442" s="117"/>
      <c r="Q442" s="117"/>
      <c r="R442" s="63"/>
      <c r="S442" s="117"/>
      <c r="T442" s="117"/>
      <c r="U442" s="117"/>
      <c r="V442" s="117"/>
      <c r="W442" s="117"/>
      <c r="X442" s="117"/>
      <c r="Y442" s="117"/>
      <c r="Z442" s="117"/>
      <c r="AA442" s="117"/>
      <c r="AB442" s="117"/>
      <c r="AC442" s="117"/>
      <c r="AD442" s="117"/>
      <c r="AE442" s="117"/>
      <c r="AF442" s="74"/>
      <c r="AG442" s="117"/>
      <c r="AH442" s="117"/>
      <c r="AI442" s="117"/>
      <c r="AJ442" s="117"/>
      <c r="AK442" s="117"/>
      <c r="AL442" s="117"/>
      <c r="AM442" s="117"/>
      <c r="AN442" s="117"/>
      <c r="AO442" s="117"/>
      <c r="AP442" s="117"/>
      <c r="AQ442" s="117"/>
      <c r="AR442" s="117"/>
      <c r="AS442" s="145"/>
      <c r="AU442" s="117"/>
      <c r="AV442" s="45"/>
      <c r="AY442" s="162"/>
      <c r="BF442" s="45"/>
      <c r="BG442" s="246"/>
      <c r="BI442" s="138"/>
      <c r="BJ442" s="54"/>
      <c r="BK442" s="74"/>
      <c r="BL442" s="117"/>
      <c r="BM442" s="117"/>
      <c r="BN442" s="117"/>
      <c r="BO442" s="117"/>
      <c r="BP442" s="117"/>
      <c r="BQ442" s="117"/>
      <c r="BR442" s="117"/>
      <c r="BS442" s="117"/>
      <c r="BT442" s="117"/>
      <c r="BU442" s="117"/>
      <c r="BV442" s="117"/>
      <c r="BW442" s="117"/>
      <c r="BX442" s="117"/>
      <c r="BY442" s="117"/>
      <c r="CA442" s="102"/>
      <c r="CC442" s="86"/>
      <c r="CE442" s="102"/>
      <c r="CJ442" s="86"/>
      <c r="CP442" s="63"/>
      <c r="CQ442" s="54"/>
      <c r="CX442" s="86"/>
      <c r="DM442" s="342"/>
      <c r="DO442" s="63"/>
      <c r="DP442" s="86"/>
      <c r="ED442" s="54"/>
      <c r="EF442" s="63"/>
      <c r="EG442" s="86"/>
      <c r="EP442" s="63"/>
      <c r="EQ442" s="54"/>
      <c r="ER442" s="86"/>
      <c r="FF442" s="54"/>
      <c r="FG442" s="86"/>
      <c r="FO442" s="45"/>
      <c r="FT442" s="86"/>
      <c r="FW442" s="63"/>
      <c r="FX442" s="54"/>
      <c r="GB442" s="86"/>
      <c r="GK442" s="45"/>
      <c r="GL442" s="54"/>
      <c r="GS442" s="86"/>
      <c r="HC442" s="63"/>
      <c r="HJ442" s="86"/>
      <c r="HT442" s="63"/>
      <c r="HZ442" s="54"/>
      <c r="IA442" s="86"/>
      <c r="IJ442" s="54"/>
      <c r="IK442" s="86"/>
    </row>
    <row r="443" spans="1:245">
      <c r="A443" s="86">
        <v>413</v>
      </c>
      <c r="B443" s="117"/>
      <c r="C443" s="117"/>
      <c r="D443" s="117"/>
      <c r="E443" s="117"/>
      <c r="K443" s="117"/>
      <c r="L443" s="117"/>
      <c r="M443" s="117"/>
      <c r="N443" s="117"/>
      <c r="O443" s="117"/>
      <c r="P443" s="117"/>
      <c r="Q443" s="117"/>
      <c r="R443" s="63"/>
      <c r="S443" s="117"/>
      <c r="T443" s="117"/>
      <c r="U443" s="117"/>
      <c r="V443" s="117"/>
      <c r="W443" s="117"/>
      <c r="X443" s="117"/>
      <c r="Y443" s="117"/>
      <c r="Z443" s="117"/>
      <c r="AA443" s="117"/>
      <c r="AB443" s="117"/>
      <c r="AC443" s="117"/>
      <c r="AD443" s="117"/>
      <c r="AE443" s="117"/>
      <c r="AF443" s="74"/>
      <c r="AG443" s="117"/>
      <c r="AH443" s="117"/>
      <c r="AI443" s="117"/>
      <c r="AJ443" s="117"/>
      <c r="AK443" s="117"/>
      <c r="AL443" s="117"/>
      <c r="AM443" s="117"/>
      <c r="AN443" s="117"/>
      <c r="AO443" s="117"/>
      <c r="AP443" s="117"/>
      <c r="AQ443" s="117"/>
      <c r="AR443" s="117"/>
      <c r="AS443" s="145"/>
      <c r="AU443" s="117"/>
      <c r="AV443" s="45"/>
      <c r="AY443" s="162"/>
      <c r="BF443" s="45"/>
      <c r="BG443" s="246"/>
      <c r="BI443" s="138"/>
      <c r="BJ443" s="54"/>
      <c r="BK443" s="74"/>
      <c r="BL443" s="117"/>
      <c r="BM443" s="117"/>
      <c r="BN443" s="117"/>
      <c r="BO443" s="117"/>
      <c r="BP443" s="117"/>
      <c r="BQ443" s="117"/>
      <c r="BR443" s="117"/>
      <c r="BS443" s="117"/>
      <c r="BT443" s="117"/>
      <c r="BU443" s="117"/>
      <c r="BV443" s="117"/>
      <c r="BW443" s="117"/>
      <c r="BX443" s="117"/>
      <c r="BY443" s="117"/>
      <c r="CA443" s="102"/>
      <c r="CC443" s="86"/>
      <c r="CE443" s="102"/>
      <c r="CJ443" s="86"/>
      <c r="CP443" s="63"/>
      <c r="CQ443" s="54"/>
      <c r="CX443" s="86"/>
      <c r="DM443" s="342"/>
      <c r="DO443" s="63"/>
      <c r="DP443" s="86"/>
      <c r="ED443" s="54"/>
      <c r="EF443" s="63"/>
      <c r="EG443" s="86"/>
      <c r="EP443" s="63"/>
      <c r="EQ443" s="54"/>
      <c r="ER443" s="86"/>
      <c r="FF443" s="54"/>
      <c r="FG443" s="86"/>
      <c r="FO443" s="45"/>
      <c r="FT443" s="86"/>
      <c r="FW443" s="63"/>
      <c r="FX443" s="54"/>
      <c r="GB443" s="86"/>
      <c r="GK443" s="45"/>
      <c r="GL443" s="54"/>
      <c r="GS443" s="86"/>
      <c r="HC443" s="63"/>
      <c r="HJ443" s="86"/>
      <c r="HT443" s="63"/>
      <c r="HZ443" s="54"/>
      <c r="IA443" s="86"/>
      <c r="IJ443" s="54"/>
      <c r="IK443" s="86"/>
    </row>
    <row r="444" spans="1:245">
      <c r="A444" s="86">
        <v>414</v>
      </c>
      <c r="B444" s="117"/>
      <c r="C444" s="117"/>
      <c r="D444" s="117"/>
      <c r="E444" s="117"/>
      <c r="K444" s="117"/>
      <c r="L444" s="117"/>
      <c r="M444" s="117"/>
      <c r="N444" s="117"/>
      <c r="O444" s="117"/>
      <c r="P444" s="117"/>
      <c r="Q444" s="117"/>
      <c r="R444" s="63"/>
      <c r="S444" s="117"/>
      <c r="T444" s="117"/>
      <c r="U444" s="117"/>
      <c r="V444" s="117"/>
      <c r="W444" s="117"/>
      <c r="X444" s="117"/>
      <c r="Y444" s="117"/>
      <c r="Z444" s="117"/>
      <c r="AA444" s="117"/>
      <c r="AB444" s="117"/>
      <c r="AC444" s="117"/>
      <c r="AD444" s="117"/>
      <c r="AE444" s="117"/>
      <c r="AF444" s="74"/>
      <c r="AG444" s="117"/>
      <c r="AH444" s="117"/>
      <c r="AI444" s="117"/>
      <c r="AJ444" s="117"/>
      <c r="AK444" s="117"/>
      <c r="AL444" s="117"/>
      <c r="AM444" s="117"/>
      <c r="AN444" s="117"/>
      <c r="AO444" s="117"/>
      <c r="AP444" s="117"/>
      <c r="AQ444" s="117"/>
      <c r="AR444" s="117"/>
      <c r="AS444" s="145"/>
      <c r="AU444" s="117"/>
      <c r="AV444" s="45"/>
      <c r="AY444" s="162"/>
      <c r="BF444" s="45"/>
      <c r="BG444" s="246"/>
      <c r="BI444" s="138"/>
      <c r="BJ444" s="54"/>
      <c r="BK444" s="74"/>
      <c r="BL444" s="117"/>
      <c r="BM444" s="117"/>
      <c r="BN444" s="117"/>
      <c r="BO444" s="117"/>
      <c r="BP444" s="117"/>
      <c r="BQ444" s="117"/>
      <c r="BR444" s="117"/>
      <c r="BS444" s="117"/>
      <c r="BT444" s="117"/>
      <c r="BU444" s="117"/>
      <c r="BV444" s="117"/>
      <c r="BW444" s="117"/>
      <c r="BX444" s="117"/>
      <c r="BY444" s="117"/>
      <c r="CA444" s="102"/>
      <c r="CC444" s="86"/>
      <c r="CE444" s="102"/>
      <c r="CJ444" s="86"/>
      <c r="CP444" s="63"/>
      <c r="CQ444" s="54"/>
      <c r="CX444" s="86"/>
      <c r="DM444" s="342"/>
      <c r="DO444" s="63"/>
      <c r="DP444" s="86"/>
      <c r="ED444" s="54"/>
      <c r="EF444" s="63"/>
      <c r="EG444" s="86"/>
      <c r="EP444" s="63"/>
      <c r="EQ444" s="54"/>
      <c r="ER444" s="86"/>
      <c r="FF444" s="54"/>
      <c r="FG444" s="86"/>
      <c r="FO444" s="45"/>
      <c r="FT444" s="86"/>
      <c r="FW444" s="63"/>
      <c r="FX444" s="54"/>
      <c r="GB444" s="86"/>
      <c r="GK444" s="45"/>
      <c r="GL444" s="54"/>
      <c r="GS444" s="86"/>
      <c r="HC444" s="63"/>
      <c r="HJ444" s="86"/>
      <c r="HT444" s="63"/>
      <c r="HZ444" s="54"/>
      <c r="IA444" s="86"/>
      <c r="IJ444" s="54"/>
      <c r="IK444" s="86"/>
    </row>
    <row r="445" spans="1:245">
      <c r="A445" s="86">
        <v>415</v>
      </c>
      <c r="B445" s="117"/>
      <c r="C445" s="117"/>
      <c r="D445" s="117"/>
      <c r="E445" s="117"/>
      <c r="K445" s="117"/>
      <c r="L445" s="117"/>
      <c r="M445" s="117"/>
      <c r="N445" s="117"/>
      <c r="O445" s="117"/>
      <c r="P445" s="117"/>
      <c r="Q445" s="117"/>
      <c r="R445" s="63"/>
      <c r="S445" s="117"/>
      <c r="T445" s="117"/>
      <c r="U445" s="117"/>
      <c r="V445" s="117"/>
      <c r="W445" s="117"/>
      <c r="X445" s="117"/>
      <c r="Y445" s="117"/>
      <c r="Z445" s="117"/>
      <c r="AA445" s="117"/>
      <c r="AB445" s="117"/>
      <c r="AC445" s="117"/>
      <c r="AD445" s="117"/>
      <c r="AE445" s="117"/>
      <c r="AF445" s="74"/>
      <c r="AG445" s="117"/>
      <c r="AH445" s="117"/>
      <c r="AI445" s="117"/>
      <c r="AJ445" s="117"/>
      <c r="AK445" s="117"/>
      <c r="AL445" s="117"/>
      <c r="AM445" s="117"/>
      <c r="AN445" s="117"/>
      <c r="AO445" s="117"/>
      <c r="AP445" s="117"/>
      <c r="AQ445" s="117"/>
      <c r="AR445" s="117"/>
      <c r="AS445" s="145"/>
      <c r="AU445" s="117"/>
      <c r="AV445" s="45"/>
      <c r="AY445" s="162"/>
      <c r="BF445" s="45"/>
      <c r="BG445" s="246"/>
      <c r="BI445" s="138"/>
      <c r="BJ445" s="54"/>
      <c r="BK445" s="74"/>
      <c r="BL445" s="117"/>
      <c r="BM445" s="117"/>
      <c r="BN445" s="117"/>
      <c r="BO445" s="117"/>
      <c r="BP445" s="117"/>
      <c r="BQ445" s="117"/>
      <c r="BR445" s="117"/>
      <c r="BS445" s="117"/>
      <c r="BT445" s="117"/>
      <c r="BU445" s="117"/>
      <c r="BV445" s="117"/>
      <c r="BW445" s="117"/>
      <c r="BX445" s="117"/>
      <c r="BY445" s="117"/>
      <c r="CA445" s="102"/>
      <c r="CC445" s="86"/>
      <c r="CE445" s="102"/>
      <c r="CJ445" s="86"/>
      <c r="CP445" s="63"/>
      <c r="CQ445" s="54"/>
      <c r="CX445" s="86"/>
      <c r="DM445" s="342"/>
      <c r="DO445" s="63"/>
      <c r="DP445" s="86"/>
      <c r="ED445" s="54"/>
      <c r="EF445" s="63"/>
      <c r="EG445" s="86"/>
      <c r="EP445" s="63"/>
      <c r="EQ445" s="54"/>
      <c r="ER445" s="86"/>
      <c r="FF445" s="54"/>
      <c r="FG445" s="86"/>
      <c r="FO445" s="45"/>
      <c r="FT445" s="86"/>
      <c r="FW445" s="63"/>
      <c r="FX445" s="54"/>
      <c r="GB445" s="86"/>
      <c r="GK445" s="45"/>
      <c r="GL445" s="54"/>
      <c r="GS445" s="86"/>
      <c r="HC445" s="63"/>
      <c r="HJ445" s="86"/>
      <c r="HT445" s="63"/>
      <c r="HZ445" s="54"/>
      <c r="IA445" s="86"/>
      <c r="IJ445" s="54"/>
      <c r="IK445" s="86"/>
    </row>
    <row r="446" spans="1:245">
      <c r="A446" s="86">
        <v>416</v>
      </c>
      <c r="B446" s="117"/>
      <c r="C446" s="117"/>
      <c r="D446" s="117"/>
      <c r="E446" s="117"/>
      <c r="K446" s="117"/>
      <c r="L446" s="117"/>
      <c r="M446" s="117"/>
      <c r="N446" s="117"/>
      <c r="O446" s="117"/>
      <c r="P446" s="117"/>
      <c r="Q446" s="117"/>
      <c r="R446" s="63"/>
      <c r="S446" s="117"/>
      <c r="T446" s="117"/>
      <c r="U446" s="117"/>
      <c r="V446" s="117"/>
      <c r="W446" s="117"/>
      <c r="X446" s="117"/>
      <c r="Y446" s="117"/>
      <c r="Z446" s="117"/>
      <c r="AA446" s="117"/>
      <c r="AB446" s="117"/>
      <c r="AC446" s="117"/>
      <c r="AD446" s="117"/>
      <c r="AE446" s="117"/>
      <c r="AF446" s="74"/>
      <c r="AG446" s="117"/>
      <c r="AH446" s="117"/>
      <c r="AI446" s="117"/>
      <c r="AJ446" s="117"/>
      <c r="AK446" s="117"/>
      <c r="AL446" s="117"/>
      <c r="AM446" s="117"/>
      <c r="AN446" s="117"/>
      <c r="AO446" s="117"/>
      <c r="AP446" s="117"/>
      <c r="AQ446" s="117"/>
      <c r="AR446" s="117"/>
      <c r="AS446" s="145"/>
      <c r="AU446" s="117"/>
      <c r="AV446" s="45"/>
      <c r="AY446" s="162"/>
      <c r="BF446" s="45"/>
      <c r="BG446" s="246"/>
      <c r="BI446" s="138"/>
      <c r="BJ446" s="54"/>
      <c r="BK446" s="74"/>
      <c r="BL446" s="117"/>
      <c r="BM446" s="117"/>
      <c r="BN446" s="117"/>
      <c r="BO446" s="117"/>
      <c r="BP446" s="117"/>
      <c r="BQ446" s="117"/>
      <c r="BR446" s="117"/>
      <c r="BS446" s="117"/>
      <c r="BT446" s="117"/>
      <c r="BU446" s="117"/>
      <c r="BV446" s="117"/>
      <c r="BW446" s="117"/>
      <c r="BX446" s="117"/>
      <c r="BY446" s="117"/>
      <c r="CA446" s="102"/>
      <c r="CC446" s="86"/>
      <c r="CE446" s="102"/>
      <c r="CJ446" s="86"/>
      <c r="CP446" s="63"/>
      <c r="CQ446" s="54"/>
      <c r="CX446" s="86"/>
      <c r="DM446" s="342"/>
      <c r="DO446" s="63"/>
      <c r="DP446" s="86"/>
      <c r="ED446" s="54"/>
      <c r="EF446" s="63"/>
      <c r="EG446" s="86"/>
      <c r="EP446" s="63"/>
      <c r="EQ446" s="54"/>
      <c r="ER446" s="86"/>
      <c r="FF446" s="54"/>
      <c r="FG446" s="86"/>
      <c r="FO446" s="45"/>
      <c r="FT446" s="86"/>
      <c r="FW446" s="63"/>
      <c r="FX446" s="54"/>
      <c r="GB446" s="86"/>
      <c r="GK446" s="45"/>
      <c r="GL446" s="54"/>
      <c r="GS446" s="86"/>
      <c r="HC446" s="63"/>
      <c r="HJ446" s="86"/>
      <c r="HT446" s="63"/>
      <c r="HZ446" s="54"/>
      <c r="IA446" s="86"/>
      <c r="IJ446" s="54"/>
      <c r="IK446" s="86"/>
    </row>
    <row r="447" spans="1:245">
      <c r="A447" s="86">
        <v>417</v>
      </c>
      <c r="B447" s="117"/>
      <c r="C447" s="117"/>
      <c r="D447" s="117"/>
      <c r="E447" s="117"/>
      <c r="K447" s="117"/>
      <c r="L447" s="117"/>
      <c r="M447" s="117"/>
      <c r="N447" s="117"/>
      <c r="O447" s="117"/>
      <c r="P447" s="117"/>
      <c r="Q447" s="117"/>
      <c r="R447" s="63"/>
      <c r="S447" s="117"/>
      <c r="T447" s="117"/>
      <c r="U447" s="117"/>
      <c r="V447" s="117"/>
      <c r="W447" s="117"/>
      <c r="X447" s="117"/>
      <c r="Y447" s="117"/>
      <c r="Z447" s="117"/>
      <c r="AA447" s="117"/>
      <c r="AB447" s="117"/>
      <c r="AC447" s="117"/>
      <c r="AD447" s="117"/>
      <c r="AE447" s="117"/>
      <c r="AF447" s="74"/>
      <c r="AG447" s="117"/>
      <c r="AH447" s="117"/>
      <c r="AI447" s="117"/>
      <c r="AJ447" s="117"/>
      <c r="AK447" s="117"/>
      <c r="AL447" s="117"/>
      <c r="AM447" s="117"/>
      <c r="AN447" s="117"/>
      <c r="AO447" s="117"/>
      <c r="AP447" s="117"/>
      <c r="AQ447" s="117"/>
      <c r="AR447" s="117"/>
      <c r="AS447" s="145"/>
      <c r="AU447" s="117"/>
      <c r="AV447" s="45"/>
      <c r="AY447" s="162"/>
      <c r="BF447" s="45"/>
      <c r="BG447" s="246"/>
      <c r="BI447" s="138"/>
      <c r="BJ447" s="54"/>
      <c r="BK447" s="74"/>
      <c r="BL447" s="117"/>
      <c r="BM447" s="117"/>
      <c r="BN447" s="117"/>
      <c r="BO447" s="117"/>
      <c r="BP447" s="117"/>
      <c r="BQ447" s="117"/>
      <c r="BR447" s="117"/>
      <c r="BS447" s="117"/>
      <c r="BT447" s="117"/>
      <c r="BU447" s="117"/>
      <c r="BV447" s="117"/>
      <c r="BW447" s="117"/>
      <c r="BX447" s="117"/>
      <c r="BY447" s="117"/>
      <c r="CA447" s="102"/>
      <c r="CC447" s="86"/>
      <c r="CE447" s="102"/>
      <c r="CJ447" s="86"/>
      <c r="CP447" s="63"/>
      <c r="CQ447" s="54"/>
      <c r="CX447" s="86"/>
      <c r="DM447" s="342"/>
      <c r="DO447" s="63"/>
      <c r="DP447" s="86"/>
      <c r="ED447" s="54"/>
      <c r="EF447" s="63"/>
      <c r="EG447" s="86"/>
      <c r="EP447" s="63"/>
      <c r="EQ447" s="54"/>
      <c r="ER447" s="86"/>
      <c r="FF447" s="54"/>
      <c r="FG447" s="86"/>
      <c r="FO447" s="45"/>
      <c r="FT447" s="86"/>
      <c r="FW447" s="63"/>
      <c r="FX447" s="54"/>
      <c r="GB447" s="86"/>
      <c r="GK447" s="45"/>
      <c r="GL447" s="54"/>
      <c r="GS447" s="86"/>
      <c r="HC447" s="63"/>
      <c r="HJ447" s="86"/>
      <c r="HT447" s="63"/>
      <c r="HZ447" s="54"/>
      <c r="IA447" s="86"/>
      <c r="IJ447" s="54"/>
      <c r="IK447" s="86"/>
    </row>
    <row r="448" spans="1:245">
      <c r="A448" s="86">
        <v>418</v>
      </c>
      <c r="B448" s="117"/>
      <c r="C448" s="117"/>
      <c r="D448" s="117"/>
      <c r="E448" s="117"/>
      <c r="K448" s="117"/>
      <c r="L448" s="117"/>
      <c r="M448" s="117"/>
      <c r="N448" s="117"/>
      <c r="O448" s="117"/>
      <c r="P448" s="117"/>
      <c r="Q448" s="117"/>
      <c r="R448" s="63"/>
      <c r="S448" s="117"/>
      <c r="T448" s="117"/>
      <c r="U448" s="117"/>
      <c r="V448" s="117"/>
      <c r="W448" s="117"/>
      <c r="X448" s="117"/>
      <c r="Y448" s="117"/>
      <c r="Z448" s="117"/>
      <c r="AA448" s="117"/>
      <c r="AB448" s="117"/>
      <c r="AC448" s="117"/>
      <c r="AD448" s="117"/>
      <c r="AE448" s="117"/>
      <c r="AF448" s="74"/>
      <c r="AG448" s="117"/>
      <c r="AH448" s="117"/>
      <c r="AI448" s="117"/>
      <c r="AJ448" s="117"/>
      <c r="AK448" s="117"/>
      <c r="AL448" s="117"/>
      <c r="AM448" s="117"/>
      <c r="AN448" s="117"/>
      <c r="AO448" s="117"/>
      <c r="AP448" s="117"/>
      <c r="AQ448" s="117"/>
      <c r="AR448" s="117"/>
      <c r="AS448" s="145"/>
      <c r="AU448" s="117"/>
      <c r="AV448" s="45"/>
      <c r="AY448" s="162"/>
      <c r="BF448" s="45"/>
      <c r="BG448" s="246"/>
      <c r="BI448" s="138"/>
      <c r="BJ448" s="54"/>
      <c r="BK448" s="74"/>
      <c r="BL448" s="117"/>
      <c r="BM448" s="117"/>
      <c r="BN448" s="117"/>
      <c r="BO448" s="117"/>
      <c r="BP448" s="117"/>
      <c r="BQ448" s="117"/>
      <c r="BR448" s="117"/>
      <c r="BS448" s="117"/>
      <c r="BT448" s="117"/>
      <c r="BU448" s="117"/>
      <c r="BV448" s="117"/>
      <c r="BW448" s="117"/>
      <c r="BX448" s="117"/>
      <c r="BY448" s="117"/>
      <c r="CA448" s="102"/>
      <c r="CC448" s="86"/>
      <c r="CE448" s="102"/>
      <c r="CJ448" s="86"/>
      <c r="CP448" s="63"/>
      <c r="CQ448" s="54"/>
      <c r="CX448" s="86"/>
      <c r="DM448" s="342"/>
      <c r="DO448" s="63"/>
      <c r="DP448" s="86"/>
      <c r="ED448" s="54"/>
      <c r="EF448" s="63"/>
      <c r="EG448" s="86"/>
      <c r="EP448" s="63"/>
      <c r="EQ448" s="54"/>
      <c r="ER448" s="86"/>
      <c r="FF448" s="54"/>
      <c r="FG448" s="86"/>
      <c r="FO448" s="45"/>
      <c r="FT448" s="86"/>
      <c r="FW448" s="63"/>
      <c r="FX448" s="54"/>
      <c r="GB448" s="86"/>
      <c r="GK448" s="45"/>
      <c r="GL448" s="54"/>
      <c r="GS448" s="86"/>
      <c r="HC448" s="63"/>
      <c r="HJ448" s="86"/>
      <c r="HT448" s="63"/>
      <c r="HZ448" s="54"/>
      <c r="IA448" s="86"/>
      <c r="IJ448" s="54"/>
      <c r="IK448" s="86"/>
    </row>
    <row r="449" spans="1:245">
      <c r="A449" s="86">
        <v>419</v>
      </c>
      <c r="B449" s="117"/>
      <c r="C449" s="117"/>
      <c r="D449" s="117"/>
      <c r="E449" s="117"/>
      <c r="K449" s="117"/>
      <c r="L449" s="117"/>
      <c r="M449" s="117"/>
      <c r="N449" s="117"/>
      <c r="O449" s="117"/>
      <c r="P449" s="117"/>
      <c r="Q449" s="117"/>
      <c r="R449" s="63"/>
      <c r="S449" s="117"/>
      <c r="T449" s="117"/>
      <c r="U449" s="117"/>
      <c r="V449" s="117"/>
      <c r="W449" s="117"/>
      <c r="X449" s="117"/>
      <c r="Y449" s="117"/>
      <c r="Z449" s="117"/>
      <c r="AA449" s="117"/>
      <c r="AB449" s="117"/>
      <c r="AC449" s="117"/>
      <c r="AD449" s="117"/>
      <c r="AE449" s="117"/>
      <c r="AF449" s="74"/>
      <c r="AG449" s="117"/>
      <c r="AH449" s="117"/>
      <c r="AI449" s="117"/>
      <c r="AJ449" s="117"/>
      <c r="AK449" s="117"/>
      <c r="AL449" s="117"/>
      <c r="AM449" s="117"/>
      <c r="AN449" s="117"/>
      <c r="AO449" s="117"/>
      <c r="AP449" s="117"/>
      <c r="AQ449" s="117"/>
      <c r="AR449" s="117"/>
      <c r="AS449" s="145"/>
      <c r="AU449" s="117"/>
      <c r="AV449" s="45"/>
      <c r="AY449" s="162"/>
      <c r="BF449" s="45"/>
      <c r="BG449" s="246"/>
      <c r="BI449" s="138"/>
      <c r="BJ449" s="54"/>
      <c r="BK449" s="74"/>
      <c r="BL449" s="117"/>
      <c r="BM449" s="117"/>
      <c r="BN449" s="117"/>
      <c r="BO449" s="117"/>
      <c r="BP449" s="117"/>
      <c r="BQ449" s="117"/>
      <c r="BR449" s="117"/>
      <c r="BS449" s="117"/>
      <c r="BT449" s="117"/>
      <c r="BU449" s="117"/>
      <c r="BV449" s="117"/>
      <c r="BW449" s="117"/>
      <c r="BX449" s="117"/>
      <c r="BY449" s="117"/>
      <c r="CA449" s="102"/>
      <c r="CC449" s="86"/>
      <c r="CE449" s="102"/>
      <c r="CJ449" s="86"/>
      <c r="CP449" s="63"/>
      <c r="CQ449" s="54"/>
      <c r="CX449" s="86"/>
      <c r="DM449" s="342"/>
      <c r="DO449" s="63"/>
      <c r="DP449" s="86"/>
      <c r="ED449" s="54"/>
      <c r="EF449" s="63"/>
      <c r="EG449" s="86"/>
      <c r="EP449" s="63"/>
      <c r="EQ449" s="54"/>
      <c r="ER449" s="86"/>
      <c r="FF449" s="54"/>
      <c r="FG449" s="86"/>
      <c r="FO449" s="45"/>
      <c r="FT449" s="86"/>
      <c r="FW449" s="63"/>
      <c r="FX449" s="54"/>
      <c r="GB449" s="86"/>
      <c r="GK449" s="45"/>
      <c r="GL449" s="54"/>
      <c r="GS449" s="86"/>
      <c r="HC449" s="63"/>
      <c r="HJ449" s="86"/>
      <c r="HT449" s="63"/>
      <c r="HZ449" s="54"/>
      <c r="IA449" s="86"/>
      <c r="IJ449" s="54"/>
      <c r="IK449" s="86"/>
    </row>
    <row r="450" spans="1:245">
      <c r="A450" s="86">
        <v>420</v>
      </c>
      <c r="B450" s="117"/>
      <c r="C450" s="117"/>
      <c r="D450" s="117"/>
      <c r="E450" s="117"/>
      <c r="K450" s="117"/>
      <c r="L450" s="117"/>
      <c r="M450" s="117"/>
      <c r="N450" s="117"/>
      <c r="O450" s="117"/>
      <c r="P450" s="117"/>
      <c r="Q450" s="117"/>
      <c r="R450" s="63"/>
      <c r="S450" s="117"/>
      <c r="T450" s="117"/>
      <c r="U450" s="117"/>
      <c r="V450" s="117"/>
      <c r="W450" s="117"/>
      <c r="X450" s="117"/>
      <c r="Y450" s="117"/>
      <c r="Z450" s="117"/>
      <c r="AA450" s="117"/>
      <c r="AB450" s="117"/>
      <c r="AC450" s="117"/>
      <c r="AD450" s="117"/>
      <c r="AE450" s="117"/>
      <c r="AF450" s="74"/>
      <c r="AG450" s="117"/>
      <c r="AH450" s="117"/>
      <c r="AI450" s="117"/>
      <c r="AJ450" s="117"/>
      <c r="AK450" s="117"/>
      <c r="AL450" s="117"/>
      <c r="AM450" s="117"/>
      <c r="AN450" s="117"/>
      <c r="AO450" s="117"/>
      <c r="AP450" s="117"/>
      <c r="AQ450" s="117"/>
      <c r="AR450" s="117"/>
      <c r="AS450" s="145"/>
      <c r="AU450" s="117"/>
      <c r="AV450" s="45"/>
      <c r="AY450" s="162"/>
      <c r="BF450" s="45"/>
      <c r="BG450" s="246"/>
      <c r="BI450" s="138"/>
      <c r="BJ450" s="54"/>
      <c r="BK450" s="74"/>
      <c r="BL450" s="117"/>
      <c r="BM450" s="117"/>
      <c r="BN450" s="117"/>
      <c r="BO450" s="117"/>
      <c r="BP450" s="117"/>
      <c r="BQ450" s="117"/>
      <c r="BR450" s="117"/>
      <c r="BS450" s="117"/>
      <c r="BT450" s="117"/>
      <c r="BU450" s="117"/>
      <c r="BV450" s="117"/>
      <c r="BW450" s="117"/>
      <c r="BX450" s="117"/>
      <c r="BY450" s="117"/>
      <c r="CA450" s="102"/>
      <c r="CC450" s="86"/>
      <c r="CE450" s="102"/>
      <c r="CJ450" s="86"/>
      <c r="CP450" s="63"/>
      <c r="CQ450" s="54"/>
      <c r="CX450" s="86"/>
      <c r="DM450" s="342"/>
      <c r="DO450" s="63"/>
      <c r="DP450" s="86"/>
      <c r="ED450" s="54"/>
      <c r="EF450" s="63"/>
      <c r="EG450" s="86"/>
      <c r="EP450" s="63"/>
      <c r="EQ450" s="54"/>
      <c r="ER450" s="86"/>
      <c r="FF450" s="54"/>
      <c r="FG450" s="86"/>
      <c r="FO450" s="45"/>
      <c r="FT450" s="86"/>
      <c r="FW450" s="63"/>
      <c r="FX450" s="54"/>
      <c r="GB450" s="86"/>
      <c r="GK450" s="45"/>
      <c r="GL450" s="54"/>
      <c r="GS450" s="86"/>
      <c r="HC450" s="63"/>
      <c r="HJ450" s="86"/>
      <c r="HT450" s="63"/>
      <c r="HZ450" s="54"/>
      <c r="IA450" s="86"/>
      <c r="IJ450" s="54"/>
      <c r="IK450" s="86"/>
    </row>
    <row r="451" spans="1:245">
      <c r="A451" s="86">
        <v>421</v>
      </c>
      <c r="R451" s="63"/>
      <c r="S451" s="86"/>
      <c r="AF451" s="74"/>
      <c r="AS451" s="145"/>
      <c r="AU451" s="86"/>
      <c r="AV451" s="45"/>
      <c r="AY451" s="162"/>
      <c r="BF451" s="45"/>
      <c r="BG451" s="246"/>
      <c r="BI451" s="138"/>
      <c r="BJ451" s="54"/>
      <c r="BK451" s="74"/>
      <c r="BL451" s="86"/>
      <c r="CA451" s="102"/>
      <c r="CC451" s="86"/>
      <c r="CE451" s="102"/>
      <c r="CJ451" s="86"/>
      <c r="CP451" s="63"/>
      <c r="CQ451" s="54"/>
      <c r="CX451" s="86"/>
      <c r="DM451" s="342"/>
      <c r="DO451" s="63"/>
      <c r="DP451" s="86"/>
      <c r="ED451" s="54"/>
      <c r="EF451" s="63"/>
      <c r="EG451" s="86"/>
      <c r="EP451" s="63"/>
      <c r="EQ451" s="54"/>
      <c r="ER451" s="86"/>
      <c r="FF451" s="54"/>
      <c r="FG451" s="86"/>
      <c r="FO451" s="45"/>
      <c r="FT451" s="86"/>
      <c r="FW451" s="63"/>
      <c r="FX451" s="54"/>
      <c r="GB451" s="86"/>
      <c r="GK451" s="45"/>
      <c r="GL451" s="54"/>
      <c r="GS451" s="86"/>
      <c r="HC451" s="63"/>
      <c r="HJ451" s="86"/>
      <c r="HT451" s="63"/>
      <c r="HZ451" s="54"/>
      <c r="IA451" s="86"/>
      <c r="IJ451" s="54"/>
      <c r="IK451" s="86"/>
    </row>
    <row r="452" spans="1:245">
      <c r="A452" s="86">
        <v>422</v>
      </c>
      <c r="R452" s="63"/>
      <c r="S452" s="86"/>
      <c r="AF452" s="74"/>
      <c r="AS452" s="145"/>
      <c r="AU452" s="86"/>
      <c r="AV452" s="45"/>
      <c r="AY452" s="162"/>
      <c r="BF452" s="45"/>
      <c r="BG452" s="246"/>
      <c r="BI452" s="138"/>
      <c r="BJ452" s="54"/>
      <c r="BK452" s="74"/>
      <c r="BL452" s="86"/>
      <c r="CA452" s="102"/>
      <c r="CC452" s="86"/>
      <c r="CE452" s="102"/>
      <c r="CJ452" s="86"/>
      <c r="CP452" s="63"/>
      <c r="CQ452" s="54"/>
      <c r="CX452" s="86"/>
      <c r="DM452" s="342"/>
      <c r="DO452" s="63"/>
      <c r="DP452" s="86"/>
      <c r="ED452" s="54"/>
      <c r="EF452" s="63"/>
      <c r="EG452" s="86"/>
      <c r="EP452" s="63"/>
      <c r="EQ452" s="54"/>
      <c r="ER452" s="86"/>
      <c r="FF452" s="54"/>
      <c r="FG452" s="86"/>
      <c r="FO452" s="45"/>
      <c r="FT452" s="86"/>
      <c r="FW452" s="63"/>
      <c r="FX452" s="54"/>
      <c r="GB452" s="86"/>
      <c r="GK452" s="45"/>
      <c r="GL452" s="54"/>
      <c r="GS452" s="86"/>
      <c r="HC452" s="63"/>
      <c r="HJ452" s="86"/>
      <c r="HT452" s="63"/>
      <c r="HZ452" s="54"/>
      <c r="IA452" s="86"/>
      <c r="IJ452" s="54"/>
      <c r="IK452" s="86"/>
    </row>
    <row r="453" spans="1:245">
      <c r="A453" s="86">
        <v>423</v>
      </c>
      <c r="R453" s="63"/>
      <c r="S453" s="86"/>
      <c r="AF453" s="74"/>
      <c r="AS453" s="145"/>
      <c r="AU453" s="86"/>
      <c r="AV453" s="45"/>
      <c r="AY453" s="162"/>
      <c r="BF453" s="45"/>
      <c r="BG453" s="246"/>
      <c r="BI453" s="138"/>
      <c r="BJ453" s="54"/>
      <c r="BK453" s="74"/>
      <c r="BL453" s="86"/>
      <c r="CA453" s="102"/>
      <c r="CC453" s="86"/>
      <c r="CE453" s="102"/>
      <c r="CJ453" s="86"/>
      <c r="CP453" s="63"/>
      <c r="CQ453" s="54"/>
      <c r="CX453" s="86"/>
      <c r="DM453" s="342"/>
      <c r="DO453" s="63"/>
      <c r="DP453" s="86"/>
      <c r="ED453" s="54"/>
      <c r="EF453" s="63"/>
      <c r="EG453" s="86"/>
      <c r="EP453" s="63"/>
      <c r="EQ453" s="54"/>
      <c r="ER453" s="86"/>
      <c r="FF453" s="54"/>
      <c r="FG453" s="86"/>
      <c r="FO453" s="45"/>
      <c r="FT453" s="86"/>
      <c r="FW453" s="63"/>
      <c r="FX453" s="54"/>
      <c r="GB453" s="86"/>
      <c r="GK453" s="45"/>
      <c r="GL453" s="54"/>
      <c r="GS453" s="86"/>
      <c r="HC453" s="63"/>
      <c r="HJ453" s="86"/>
      <c r="HT453" s="63"/>
      <c r="HZ453" s="54"/>
      <c r="IA453" s="86"/>
      <c r="IJ453" s="54"/>
      <c r="IK453" s="86"/>
    </row>
    <row r="454" spans="1:245">
      <c r="A454" s="86">
        <v>424</v>
      </c>
      <c r="R454" s="63"/>
      <c r="S454" s="86"/>
      <c r="AF454" s="74"/>
      <c r="AS454" s="145"/>
      <c r="AU454" s="86"/>
      <c r="AV454" s="45"/>
      <c r="AY454" s="162"/>
      <c r="BF454" s="45"/>
      <c r="BG454" s="246"/>
      <c r="BI454" s="138"/>
      <c r="BJ454" s="54"/>
      <c r="BK454" s="74"/>
      <c r="BL454" s="86"/>
      <c r="CA454" s="102"/>
      <c r="CC454" s="86"/>
      <c r="CE454" s="102"/>
      <c r="CJ454" s="86"/>
      <c r="CP454" s="63"/>
      <c r="CQ454" s="54"/>
      <c r="CX454" s="86"/>
      <c r="DM454" s="342"/>
      <c r="DO454" s="63"/>
      <c r="DP454" s="86"/>
      <c r="ED454" s="54"/>
      <c r="EF454" s="63"/>
      <c r="EG454" s="86"/>
      <c r="EP454" s="63"/>
      <c r="EQ454" s="54"/>
      <c r="ER454" s="86"/>
      <c r="FF454" s="54"/>
      <c r="FG454" s="86"/>
      <c r="FO454" s="45"/>
      <c r="FT454" s="86"/>
      <c r="FW454" s="63"/>
      <c r="FX454" s="54"/>
      <c r="GB454" s="86"/>
      <c r="GK454" s="45"/>
      <c r="GL454" s="54"/>
      <c r="GS454" s="86"/>
      <c r="HC454" s="63"/>
      <c r="HJ454" s="86"/>
      <c r="HT454" s="63"/>
      <c r="HZ454" s="54"/>
      <c r="IA454" s="86"/>
      <c r="IJ454" s="54"/>
      <c r="IK454" s="86"/>
    </row>
    <row r="455" spans="1:245">
      <c r="A455" s="86">
        <v>425</v>
      </c>
      <c r="R455" s="63"/>
      <c r="S455" s="86"/>
      <c r="AF455" s="74"/>
      <c r="AS455" s="145"/>
      <c r="AU455" s="86"/>
      <c r="AV455" s="45"/>
      <c r="AY455" s="162"/>
      <c r="BF455" s="45"/>
      <c r="BG455" s="246"/>
      <c r="BI455" s="138"/>
      <c r="BJ455" s="54"/>
      <c r="BK455" s="74"/>
      <c r="BL455" s="86"/>
      <c r="CA455" s="102"/>
      <c r="CC455" s="86"/>
      <c r="CE455" s="102"/>
      <c r="CJ455" s="86"/>
      <c r="CP455" s="63"/>
      <c r="CQ455" s="54"/>
      <c r="CX455" s="86"/>
      <c r="DM455" s="342"/>
      <c r="DO455" s="63"/>
      <c r="DP455" s="86"/>
      <c r="ED455" s="54"/>
      <c r="EF455" s="63"/>
      <c r="EG455" s="86"/>
      <c r="EP455" s="63"/>
      <c r="EQ455" s="54"/>
      <c r="ER455" s="86"/>
      <c r="FF455" s="54"/>
      <c r="FG455" s="86"/>
      <c r="FO455" s="45"/>
      <c r="FT455" s="86"/>
      <c r="FW455" s="63"/>
      <c r="FX455" s="54"/>
      <c r="GB455" s="86"/>
      <c r="GK455" s="45"/>
      <c r="GL455" s="54"/>
      <c r="GS455" s="86"/>
      <c r="HC455" s="63"/>
      <c r="HJ455" s="86"/>
      <c r="HT455" s="63"/>
      <c r="HZ455" s="54"/>
      <c r="IA455" s="86"/>
      <c r="IJ455" s="54"/>
      <c r="IK455" s="86"/>
    </row>
    <row r="456" spans="1:245">
      <c r="A456" s="86">
        <v>426</v>
      </c>
      <c r="R456" s="63"/>
      <c r="S456" s="86"/>
      <c r="AF456" s="74"/>
      <c r="AS456" s="145"/>
      <c r="AU456" s="86"/>
      <c r="AV456" s="45"/>
      <c r="AY456" s="162"/>
      <c r="BF456" s="45"/>
      <c r="BG456" s="246"/>
      <c r="BI456" s="138"/>
      <c r="BJ456" s="54"/>
      <c r="BK456" s="74"/>
      <c r="BL456" s="86"/>
      <c r="CA456" s="102"/>
      <c r="CC456" s="86"/>
      <c r="CE456" s="102"/>
      <c r="CJ456" s="86"/>
      <c r="CP456" s="63"/>
      <c r="CQ456" s="54"/>
      <c r="CX456" s="86"/>
      <c r="DM456" s="342"/>
      <c r="DO456" s="63"/>
      <c r="DP456" s="86"/>
      <c r="ED456" s="54"/>
      <c r="EF456" s="63"/>
      <c r="EG456" s="86"/>
      <c r="EP456" s="63"/>
      <c r="EQ456" s="54"/>
      <c r="ER456" s="86"/>
      <c r="FF456" s="54"/>
      <c r="FG456" s="86"/>
      <c r="FO456" s="45"/>
      <c r="FT456" s="86"/>
      <c r="FW456" s="63"/>
      <c r="FX456" s="54"/>
      <c r="GB456" s="86"/>
      <c r="GK456" s="45"/>
      <c r="GL456" s="54"/>
      <c r="GS456" s="86"/>
      <c r="HC456" s="63"/>
      <c r="HJ456" s="86"/>
      <c r="HT456" s="63"/>
      <c r="HZ456" s="54"/>
      <c r="IA456" s="86"/>
      <c r="IJ456" s="54"/>
      <c r="IK456" s="86"/>
    </row>
    <row r="457" spans="1:245">
      <c r="A457" s="86">
        <v>427</v>
      </c>
      <c r="R457" s="63"/>
      <c r="S457" s="86"/>
      <c r="AF457" s="74"/>
      <c r="AS457" s="145"/>
      <c r="AU457" s="86"/>
      <c r="AV457" s="45"/>
      <c r="AY457" s="162"/>
      <c r="BF457" s="45"/>
      <c r="BG457" s="246"/>
      <c r="BI457" s="138"/>
      <c r="BJ457" s="54"/>
      <c r="BK457" s="74"/>
      <c r="BL457" s="86"/>
      <c r="CA457" s="102"/>
      <c r="CC457" s="86"/>
      <c r="CE457" s="102"/>
      <c r="CJ457" s="86"/>
      <c r="CP457" s="63"/>
      <c r="CQ457" s="54"/>
      <c r="CX457" s="86"/>
      <c r="DM457" s="342"/>
      <c r="DO457" s="63"/>
      <c r="DP457" s="86"/>
      <c r="ED457" s="54"/>
      <c r="EF457" s="63"/>
      <c r="EG457" s="86"/>
      <c r="EP457" s="63"/>
      <c r="EQ457" s="54"/>
      <c r="ER457" s="86"/>
      <c r="FF457" s="54"/>
      <c r="FG457" s="86"/>
      <c r="FO457" s="45"/>
      <c r="FT457" s="86"/>
      <c r="FW457" s="63"/>
      <c r="FX457" s="54"/>
      <c r="GB457" s="86"/>
      <c r="GK457" s="45"/>
      <c r="GL457" s="54"/>
      <c r="GS457" s="86"/>
      <c r="HC457" s="63"/>
      <c r="HJ457" s="86"/>
      <c r="HT457" s="63"/>
      <c r="HZ457" s="54"/>
      <c r="IA457" s="86"/>
      <c r="IJ457" s="54"/>
      <c r="IK457" s="86"/>
    </row>
    <row r="458" spans="1:245">
      <c r="A458" s="86">
        <v>428</v>
      </c>
      <c r="R458" s="63"/>
      <c r="S458" s="86"/>
      <c r="AF458" s="74"/>
      <c r="AS458" s="145"/>
      <c r="AU458" s="86"/>
      <c r="AV458" s="45"/>
      <c r="AY458" s="162"/>
      <c r="BF458" s="45"/>
      <c r="BG458" s="246"/>
      <c r="BI458" s="138"/>
      <c r="BJ458" s="54"/>
      <c r="BK458" s="74"/>
      <c r="BL458" s="86"/>
      <c r="CA458" s="102"/>
      <c r="CC458" s="86"/>
      <c r="CE458" s="102"/>
      <c r="CJ458" s="86"/>
      <c r="CP458" s="63"/>
      <c r="CQ458" s="54"/>
      <c r="CX458" s="86"/>
      <c r="DM458" s="342"/>
      <c r="DO458" s="63"/>
      <c r="DP458" s="86"/>
      <c r="ED458" s="54"/>
      <c r="EF458" s="63"/>
      <c r="EG458" s="86"/>
      <c r="EP458" s="63"/>
      <c r="EQ458" s="54"/>
      <c r="ER458" s="86"/>
      <c r="FF458" s="54"/>
      <c r="FG458" s="86"/>
      <c r="FO458" s="45"/>
      <c r="FT458" s="86"/>
      <c r="FW458" s="63"/>
      <c r="FX458" s="54"/>
      <c r="GB458" s="86"/>
      <c r="GK458" s="45"/>
      <c r="GL458" s="54"/>
      <c r="GS458" s="86"/>
      <c r="HC458" s="63"/>
      <c r="HJ458" s="86"/>
      <c r="HT458" s="63"/>
      <c r="HZ458" s="54"/>
      <c r="IA458" s="86"/>
      <c r="IJ458" s="54"/>
      <c r="IK458" s="86"/>
    </row>
    <row r="459" spans="1:245">
      <c r="A459" s="86">
        <v>429</v>
      </c>
      <c r="R459" s="63"/>
      <c r="S459" s="86"/>
      <c r="AF459" s="74"/>
      <c r="AS459" s="145"/>
      <c r="AU459" s="86"/>
      <c r="AV459" s="45"/>
      <c r="AY459" s="162"/>
      <c r="BF459" s="45"/>
      <c r="BG459" s="246"/>
      <c r="BI459" s="138"/>
      <c r="BJ459" s="54"/>
      <c r="BK459" s="74"/>
      <c r="BL459" s="86"/>
      <c r="CA459" s="102"/>
      <c r="CC459" s="86"/>
      <c r="CE459" s="102"/>
      <c r="CJ459" s="86"/>
      <c r="CP459" s="63"/>
      <c r="CQ459" s="54"/>
      <c r="CX459" s="86"/>
      <c r="DM459" s="342"/>
      <c r="DO459" s="63"/>
      <c r="DP459" s="86"/>
      <c r="ED459" s="54"/>
      <c r="EF459" s="63"/>
      <c r="EG459" s="86"/>
      <c r="EP459" s="63"/>
      <c r="EQ459" s="54"/>
      <c r="ER459" s="86"/>
      <c r="FF459" s="54"/>
      <c r="FG459" s="86"/>
      <c r="FO459" s="45"/>
      <c r="FT459" s="86"/>
      <c r="FW459" s="63"/>
      <c r="FX459" s="54"/>
      <c r="GB459" s="86"/>
      <c r="GK459" s="45"/>
      <c r="GL459" s="54"/>
      <c r="GS459" s="86"/>
      <c r="HC459" s="63"/>
      <c r="HJ459" s="86"/>
      <c r="HT459" s="63"/>
      <c r="HZ459" s="54"/>
      <c r="IA459" s="86"/>
      <c r="IJ459" s="54"/>
      <c r="IK459" s="86"/>
    </row>
    <row r="460" spans="1:245">
      <c r="A460" s="86">
        <v>430</v>
      </c>
      <c r="R460" s="63"/>
      <c r="S460" s="86"/>
      <c r="AF460" s="74"/>
      <c r="AS460" s="145"/>
      <c r="AU460" s="86"/>
      <c r="AV460" s="45"/>
      <c r="AY460" s="162"/>
      <c r="BF460" s="45"/>
      <c r="BG460" s="246"/>
      <c r="BI460" s="138"/>
      <c r="BJ460" s="54"/>
      <c r="BK460" s="74"/>
      <c r="BL460" s="86"/>
      <c r="CA460" s="102"/>
      <c r="CC460" s="86"/>
      <c r="CE460" s="102"/>
      <c r="CJ460" s="86"/>
      <c r="CP460" s="63"/>
      <c r="CQ460" s="54"/>
      <c r="CX460" s="86"/>
      <c r="DM460" s="342"/>
      <c r="DO460" s="63"/>
      <c r="DP460" s="86"/>
      <c r="ED460" s="54"/>
      <c r="EF460" s="63"/>
      <c r="EG460" s="86"/>
      <c r="EP460" s="63"/>
      <c r="EQ460" s="54"/>
      <c r="ER460" s="86"/>
      <c r="FF460" s="54"/>
      <c r="FG460" s="86"/>
      <c r="FO460" s="45"/>
      <c r="FT460" s="86"/>
      <c r="FW460" s="63"/>
      <c r="FX460" s="54"/>
      <c r="GB460" s="86"/>
      <c r="GK460" s="45"/>
      <c r="GL460" s="54"/>
      <c r="GS460" s="86"/>
      <c r="HC460" s="63"/>
      <c r="HJ460" s="86"/>
      <c r="HT460" s="63"/>
      <c r="HZ460" s="54"/>
      <c r="IA460" s="86"/>
      <c r="IJ460" s="54"/>
      <c r="IK460" s="86"/>
    </row>
    <row r="461" spans="1:245">
      <c r="A461" s="86">
        <v>431</v>
      </c>
      <c r="R461" s="63"/>
      <c r="S461" s="86"/>
      <c r="AF461" s="74"/>
      <c r="AS461" s="145"/>
      <c r="AU461" s="86"/>
      <c r="AV461" s="45"/>
      <c r="AY461" s="162"/>
      <c r="BF461" s="45"/>
      <c r="BG461" s="246"/>
      <c r="BI461" s="138"/>
      <c r="BJ461" s="54"/>
      <c r="BK461" s="74"/>
      <c r="BL461" s="86"/>
      <c r="CA461" s="102"/>
      <c r="CC461" s="86"/>
      <c r="CE461" s="102"/>
      <c r="CJ461" s="86"/>
      <c r="CP461" s="63"/>
      <c r="CQ461" s="54"/>
      <c r="CX461" s="86"/>
      <c r="DM461" s="342"/>
      <c r="DO461" s="63"/>
      <c r="DP461" s="86"/>
      <c r="ED461" s="54"/>
      <c r="EF461" s="63"/>
      <c r="EG461" s="86"/>
      <c r="EP461" s="63"/>
      <c r="EQ461" s="54"/>
      <c r="ER461" s="86"/>
      <c r="FF461" s="54"/>
      <c r="FG461" s="86"/>
      <c r="FO461" s="45"/>
      <c r="FT461" s="86"/>
      <c r="FW461" s="63"/>
      <c r="FX461" s="54"/>
      <c r="GB461" s="86"/>
      <c r="GK461" s="45"/>
      <c r="GL461" s="54"/>
      <c r="GS461" s="86"/>
      <c r="HC461" s="63"/>
      <c r="HJ461" s="86"/>
      <c r="HT461" s="63"/>
      <c r="HZ461" s="54"/>
      <c r="IA461" s="86"/>
      <c r="IJ461" s="54"/>
      <c r="IK461" s="86"/>
    </row>
    <row r="462" spans="1:245">
      <c r="A462" s="86">
        <v>432</v>
      </c>
      <c r="R462" s="63"/>
      <c r="S462" s="86"/>
      <c r="AF462" s="74"/>
      <c r="AS462" s="145"/>
      <c r="AU462" s="86"/>
      <c r="AV462" s="45"/>
      <c r="AY462" s="162"/>
      <c r="BF462" s="45"/>
      <c r="BG462" s="246"/>
      <c r="BI462" s="138"/>
      <c r="BJ462" s="54"/>
      <c r="BK462" s="74"/>
      <c r="BL462" s="86"/>
      <c r="CA462" s="102"/>
      <c r="CC462" s="86"/>
      <c r="CE462" s="102"/>
      <c r="CJ462" s="86"/>
      <c r="CP462" s="63"/>
      <c r="CQ462" s="54"/>
      <c r="CX462" s="86"/>
      <c r="DM462" s="342"/>
      <c r="DO462" s="63"/>
      <c r="DP462" s="86"/>
      <c r="ED462" s="54"/>
      <c r="EF462" s="63"/>
      <c r="EG462" s="86"/>
      <c r="EP462" s="63"/>
      <c r="EQ462" s="54"/>
      <c r="ER462" s="86"/>
      <c r="FF462" s="54"/>
      <c r="FG462" s="86"/>
      <c r="FO462" s="45"/>
      <c r="FT462" s="86"/>
      <c r="FW462" s="63"/>
      <c r="FX462" s="54"/>
      <c r="GB462" s="86"/>
      <c r="GK462" s="45"/>
      <c r="GL462" s="54"/>
      <c r="GS462" s="86"/>
      <c r="HC462" s="63"/>
      <c r="HJ462" s="86"/>
      <c r="HT462" s="63"/>
      <c r="HZ462" s="54"/>
      <c r="IA462" s="86"/>
      <c r="IJ462" s="54"/>
      <c r="IK462" s="86"/>
    </row>
    <row r="463" spans="1:245">
      <c r="A463" s="86">
        <v>433</v>
      </c>
      <c r="R463" s="63"/>
      <c r="S463" s="86"/>
      <c r="AF463" s="74"/>
      <c r="AS463" s="145"/>
      <c r="AU463" s="86"/>
      <c r="AV463" s="45"/>
      <c r="AY463" s="162"/>
      <c r="BF463" s="45"/>
      <c r="BG463" s="246"/>
      <c r="BI463" s="138"/>
      <c r="BJ463" s="54"/>
      <c r="BK463" s="74"/>
      <c r="BL463" s="86"/>
      <c r="CA463" s="102"/>
      <c r="CC463" s="86"/>
      <c r="CE463" s="102"/>
      <c r="CJ463" s="86"/>
      <c r="CP463" s="63"/>
      <c r="CQ463" s="54"/>
      <c r="CX463" s="86"/>
      <c r="DM463" s="342"/>
      <c r="DO463" s="63"/>
      <c r="DP463" s="86"/>
      <c r="ED463" s="54"/>
      <c r="EF463" s="63"/>
      <c r="EG463" s="86"/>
      <c r="EP463" s="63"/>
      <c r="EQ463" s="54"/>
      <c r="ER463" s="86"/>
      <c r="FF463" s="54"/>
      <c r="FG463" s="86"/>
      <c r="FO463" s="45"/>
      <c r="FT463" s="86"/>
      <c r="FW463" s="63"/>
      <c r="FX463" s="54"/>
      <c r="GB463" s="86"/>
      <c r="GK463" s="45"/>
      <c r="GL463" s="54"/>
      <c r="GS463" s="86"/>
      <c r="HC463" s="63"/>
      <c r="HJ463" s="86"/>
      <c r="HT463" s="63"/>
      <c r="HZ463" s="54"/>
      <c r="IA463" s="86"/>
      <c r="IJ463" s="54"/>
      <c r="IK463" s="86"/>
    </row>
    <row r="464" spans="1:245">
      <c r="A464" s="86">
        <v>434</v>
      </c>
      <c r="R464" s="63"/>
      <c r="S464" s="86"/>
      <c r="AF464" s="74"/>
      <c r="AS464" s="145"/>
      <c r="AU464" s="86"/>
      <c r="AV464" s="45"/>
      <c r="AY464" s="162"/>
      <c r="BF464" s="45"/>
      <c r="BG464" s="246"/>
      <c r="BI464" s="138"/>
      <c r="BJ464" s="54"/>
      <c r="BK464" s="74"/>
      <c r="BL464" s="86"/>
      <c r="CA464" s="102"/>
      <c r="CC464" s="86"/>
      <c r="CE464" s="102"/>
      <c r="CJ464" s="86"/>
      <c r="CP464" s="63"/>
      <c r="CQ464" s="54"/>
      <c r="CX464" s="86"/>
      <c r="DM464" s="342"/>
      <c r="DO464" s="63"/>
      <c r="DP464" s="86"/>
      <c r="ED464" s="54"/>
      <c r="EF464" s="63"/>
      <c r="EG464" s="86"/>
      <c r="EP464" s="63"/>
      <c r="EQ464" s="54"/>
      <c r="ER464" s="86"/>
      <c r="FF464" s="54"/>
      <c r="FG464" s="86"/>
      <c r="FO464" s="45"/>
      <c r="FT464" s="86"/>
      <c r="FW464" s="63"/>
      <c r="FX464" s="54"/>
      <c r="GB464" s="86"/>
      <c r="GK464" s="45"/>
      <c r="GL464" s="54"/>
      <c r="GS464" s="86"/>
      <c r="HC464" s="63"/>
      <c r="HJ464" s="86"/>
      <c r="HT464" s="63"/>
      <c r="HZ464" s="54"/>
      <c r="IA464" s="86"/>
      <c r="IJ464" s="54"/>
      <c r="IK464" s="86"/>
    </row>
    <row r="465" spans="1:245">
      <c r="A465" s="86">
        <v>435</v>
      </c>
      <c r="R465" s="63"/>
      <c r="S465" s="86"/>
      <c r="AF465" s="74"/>
      <c r="AS465" s="145"/>
      <c r="AU465" s="86"/>
      <c r="AV465" s="45"/>
      <c r="AY465" s="162"/>
      <c r="BF465" s="45"/>
      <c r="BG465" s="246"/>
      <c r="BI465" s="138"/>
      <c r="BJ465" s="54"/>
      <c r="BK465" s="74"/>
      <c r="BL465" s="86"/>
      <c r="CA465" s="102"/>
      <c r="CC465" s="86"/>
      <c r="CE465" s="102"/>
      <c r="CJ465" s="86"/>
      <c r="CP465" s="63"/>
      <c r="CQ465" s="54"/>
      <c r="CX465" s="86"/>
      <c r="DM465" s="342"/>
      <c r="DO465" s="63"/>
      <c r="DP465" s="86"/>
      <c r="ED465" s="54"/>
      <c r="EF465" s="63"/>
      <c r="EG465" s="86"/>
      <c r="EP465" s="63"/>
      <c r="EQ465" s="54"/>
      <c r="ER465" s="86"/>
      <c r="FF465" s="54"/>
      <c r="FG465" s="86"/>
      <c r="FO465" s="45"/>
      <c r="FT465" s="86"/>
      <c r="FW465" s="63"/>
      <c r="FX465" s="54"/>
      <c r="GB465" s="86"/>
      <c r="GK465" s="45"/>
      <c r="GL465" s="54"/>
      <c r="GS465" s="86"/>
      <c r="HC465" s="63"/>
      <c r="HJ465" s="86"/>
      <c r="HT465" s="63"/>
      <c r="HZ465" s="54"/>
      <c r="IA465" s="86"/>
      <c r="IJ465" s="54"/>
      <c r="IK465" s="86"/>
    </row>
    <row r="466" spans="1:245">
      <c r="A466" s="86">
        <v>436</v>
      </c>
      <c r="R466" s="63"/>
      <c r="S466" s="86"/>
      <c r="AF466" s="74"/>
      <c r="AS466" s="145"/>
      <c r="AU466" s="86"/>
      <c r="AV466" s="45"/>
      <c r="AY466" s="162"/>
      <c r="BF466" s="45"/>
      <c r="BG466" s="246"/>
      <c r="BI466" s="138"/>
      <c r="BJ466" s="54"/>
      <c r="BK466" s="74"/>
      <c r="BL466" s="86"/>
      <c r="CA466" s="102"/>
      <c r="CC466" s="86"/>
      <c r="CE466" s="102"/>
      <c r="CJ466" s="86"/>
      <c r="CP466" s="63"/>
      <c r="CQ466" s="54"/>
      <c r="CX466" s="86"/>
      <c r="DM466" s="342"/>
      <c r="DO466" s="63"/>
      <c r="DP466" s="86"/>
      <c r="ED466" s="54"/>
      <c r="EF466" s="63"/>
      <c r="EG466" s="86"/>
      <c r="EP466" s="63"/>
      <c r="EQ466" s="54"/>
      <c r="ER466" s="86"/>
      <c r="FF466" s="54"/>
      <c r="FG466" s="86"/>
      <c r="FO466" s="45"/>
      <c r="FT466" s="86"/>
      <c r="FW466" s="63"/>
      <c r="FX466" s="54"/>
      <c r="GB466" s="86"/>
      <c r="GK466" s="45"/>
      <c r="GL466" s="54"/>
      <c r="GS466" s="86"/>
      <c r="HC466" s="63"/>
      <c r="HJ466" s="86"/>
      <c r="HT466" s="63"/>
      <c r="HZ466" s="54"/>
      <c r="IA466" s="86"/>
      <c r="IJ466" s="54"/>
      <c r="IK466" s="86"/>
    </row>
    <row r="467" spans="1:245">
      <c r="A467" s="86">
        <v>437</v>
      </c>
      <c r="R467" s="63"/>
      <c r="S467" s="86"/>
      <c r="AF467" s="74"/>
      <c r="AS467" s="145"/>
      <c r="AU467" s="86"/>
      <c r="AV467" s="45"/>
      <c r="AY467" s="162"/>
      <c r="BF467" s="45"/>
      <c r="BG467" s="246"/>
      <c r="BI467" s="138"/>
      <c r="BJ467" s="54"/>
      <c r="BK467" s="74"/>
      <c r="BL467" s="86"/>
      <c r="CA467" s="102"/>
      <c r="CC467" s="86"/>
      <c r="CE467" s="102"/>
      <c r="CJ467" s="86"/>
      <c r="CP467" s="63"/>
      <c r="CQ467" s="54"/>
      <c r="CX467" s="86"/>
      <c r="DM467" s="342"/>
      <c r="DO467" s="63"/>
      <c r="DP467" s="86"/>
      <c r="ED467" s="54"/>
      <c r="EF467" s="63"/>
      <c r="EG467" s="86"/>
      <c r="EP467" s="63"/>
      <c r="EQ467" s="54"/>
      <c r="ER467" s="86"/>
      <c r="FF467" s="54"/>
      <c r="FG467" s="86"/>
      <c r="FO467" s="45"/>
      <c r="FT467" s="86"/>
      <c r="FW467" s="63"/>
      <c r="FX467" s="54"/>
      <c r="GB467" s="86"/>
      <c r="GK467" s="45"/>
      <c r="GL467" s="54"/>
      <c r="GS467" s="86"/>
      <c r="HC467" s="63"/>
      <c r="HJ467" s="86"/>
      <c r="HT467" s="63"/>
      <c r="HZ467" s="54"/>
      <c r="IA467" s="86"/>
      <c r="IJ467" s="54"/>
      <c r="IK467" s="86"/>
    </row>
    <row r="468" spans="1:245">
      <c r="A468" s="86">
        <v>438</v>
      </c>
      <c r="R468" s="63"/>
      <c r="S468" s="86"/>
      <c r="AF468" s="74"/>
      <c r="AS468" s="145"/>
      <c r="AU468" s="86"/>
      <c r="AV468" s="45"/>
      <c r="AY468" s="162"/>
      <c r="BF468" s="45"/>
      <c r="BG468" s="246"/>
      <c r="BI468" s="138"/>
      <c r="BJ468" s="54"/>
      <c r="BK468" s="74"/>
      <c r="BL468" s="86"/>
      <c r="CA468" s="102"/>
      <c r="CC468" s="86"/>
      <c r="CE468" s="102"/>
      <c r="CJ468" s="86"/>
      <c r="CP468" s="63"/>
      <c r="CQ468" s="54"/>
      <c r="CX468" s="86"/>
      <c r="DM468" s="342"/>
      <c r="DO468" s="63"/>
      <c r="DP468" s="86"/>
      <c r="ED468" s="54"/>
      <c r="EF468" s="63"/>
      <c r="EG468" s="86"/>
      <c r="EP468" s="63"/>
      <c r="EQ468" s="54"/>
      <c r="ER468" s="86"/>
      <c r="FF468" s="54"/>
      <c r="FG468" s="86"/>
      <c r="FO468" s="45"/>
      <c r="FT468" s="86"/>
      <c r="FW468" s="63"/>
      <c r="FX468" s="54"/>
      <c r="GB468" s="86"/>
      <c r="GK468" s="45"/>
      <c r="GL468" s="54"/>
      <c r="GS468" s="86"/>
      <c r="HC468" s="63"/>
      <c r="HJ468" s="86"/>
      <c r="HT468" s="63"/>
      <c r="HZ468" s="54"/>
      <c r="IA468" s="86"/>
      <c r="IJ468" s="54"/>
      <c r="IK468" s="86"/>
    </row>
    <row r="469" spans="1:245">
      <c r="A469" s="86">
        <v>439</v>
      </c>
      <c r="R469" s="63"/>
      <c r="S469" s="86"/>
      <c r="AF469" s="74"/>
      <c r="AS469" s="145"/>
      <c r="AU469" s="86"/>
      <c r="AV469" s="45"/>
      <c r="AY469" s="162"/>
      <c r="BF469" s="45"/>
      <c r="BG469" s="246"/>
      <c r="BI469" s="138"/>
      <c r="BJ469" s="54"/>
      <c r="BK469" s="74"/>
      <c r="BL469" s="86"/>
      <c r="CA469" s="102"/>
      <c r="CC469" s="86"/>
      <c r="CE469" s="102"/>
      <c r="CJ469" s="86"/>
      <c r="CP469" s="63"/>
      <c r="CQ469" s="54"/>
      <c r="CX469" s="86"/>
      <c r="DM469" s="342"/>
      <c r="DO469" s="63"/>
      <c r="DP469" s="86"/>
      <c r="ED469" s="54"/>
      <c r="EF469" s="63"/>
      <c r="EG469" s="86"/>
      <c r="EP469" s="63"/>
      <c r="EQ469" s="54"/>
      <c r="ER469" s="86"/>
      <c r="FF469" s="54"/>
      <c r="FG469" s="86"/>
      <c r="FO469" s="45"/>
      <c r="FT469" s="86"/>
      <c r="FW469" s="63"/>
      <c r="FX469" s="54"/>
      <c r="GB469" s="86"/>
      <c r="GK469" s="45"/>
      <c r="GL469" s="54"/>
      <c r="GS469" s="86"/>
      <c r="HC469" s="63"/>
      <c r="HJ469" s="86"/>
      <c r="HT469" s="63"/>
      <c r="HZ469" s="54"/>
      <c r="IA469" s="86"/>
      <c r="IJ469" s="54"/>
      <c r="IK469" s="86"/>
    </row>
    <row r="470" spans="1:245">
      <c r="A470" s="86">
        <v>440</v>
      </c>
      <c r="R470" s="63"/>
      <c r="S470" s="86"/>
      <c r="AF470" s="74"/>
      <c r="AS470" s="145"/>
      <c r="AU470" s="86"/>
      <c r="AV470" s="45"/>
      <c r="AY470" s="162"/>
      <c r="BF470" s="45"/>
      <c r="BG470" s="246"/>
      <c r="BI470" s="138"/>
      <c r="BJ470" s="54"/>
      <c r="BK470" s="74"/>
      <c r="BL470" s="86"/>
      <c r="CA470" s="102"/>
      <c r="CC470" s="86"/>
      <c r="CE470" s="102"/>
      <c r="CJ470" s="86"/>
      <c r="CP470" s="63"/>
      <c r="CQ470" s="54"/>
      <c r="CX470" s="86"/>
      <c r="DM470" s="342"/>
      <c r="DO470" s="63"/>
      <c r="DP470" s="86"/>
      <c r="ED470" s="54"/>
      <c r="EF470" s="63"/>
      <c r="EG470" s="86"/>
      <c r="EP470" s="63"/>
      <c r="EQ470" s="54"/>
      <c r="ER470" s="86"/>
      <c r="FF470" s="54"/>
      <c r="FG470" s="86"/>
      <c r="FO470" s="45"/>
      <c r="FT470" s="86"/>
      <c r="FW470" s="63"/>
      <c r="FX470" s="54"/>
      <c r="GB470" s="86"/>
      <c r="GK470" s="45"/>
      <c r="GL470" s="54"/>
      <c r="GS470" s="86"/>
      <c r="HC470" s="63"/>
      <c r="HJ470" s="86"/>
      <c r="HT470" s="63"/>
      <c r="HZ470" s="54"/>
      <c r="IA470" s="86"/>
      <c r="IJ470" s="54"/>
      <c r="IK470" s="86"/>
    </row>
    <row r="471" spans="1:245">
      <c r="A471" s="86">
        <v>441</v>
      </c>
      <c r="R471" s="63"/>
      <c r="S471" s="86"/>
      <c r="AF471" s="74"/>
      <c r="AS471" s="145"/>
      <c r="AU471" s="86"/>
      <c r="AV471" s="45"/>
      <c r="AY471" s="162"/>
      <c r="BF471" s="45"/>
      <c r="BG471" s="246"/>
      <c r="BI471" s="138"/>
      <c r="BJ471" s="54"/>
      <c r="BK471" s="74"/>
      <c r="BL471" s="86"/>
      <c r="CA471" s="102"/>
      <c r="CC471" s="86"/>
      <c r="CE471" s="102"/>
      <c r="CJ471" s="86"/>
      <c r="CP471" s="63"/>
      <c r="CQ471" s="54"/>
      <c r="CX471" s="86"/>
      <c r="DM471" s="342"/>
      <c r="DO471" s="63"/>
      <c r="DP471" s="86"/>
      <c r="ED471" s="54"/>
      <c r="EF471" s="63"/>
      <c r="EG471" s="86"/>
      <c r="EP471" s="63"/>
      <c r="EQ471" s="54"/>
      <c r="ER471" s="86"/>
      <c r="FF471" s="54"/>
      <c r="FG471" s="86"/>
      <c r="FO471" s="45"/>
      <c r="FT471" s="86"/>
      <c r="FW471" s="63"/>
      <c r="FX471" s="54"/>
      <c r="GB471" s="86"/>
      <c r="GK471" s="45"/>
      <c r="GL471" s="54"/>
      <c r="GS471" s="86"/>
      <c r="HC471" s="63"/>
      <c r="HJ471" s="86"/>
      <c r="HT471" s="63"/>
      <c r="HZ471" s="54"/>
      <c r="IA471" s="86"/>
      <c r="IJ471" s="54"/>
      <c r="IK471" s="86"/>
    </row>
    <row r="472" spans="1:245">
      <c r="A472" s="86">
        <v>442</v>
      </c>
      <c r="R472" s="63"/>
      <c r="S472" s="86"/>
      <c r="AF472" s="74"/>
      <c r="AS472" s="145"/>
      <c r="AU472" s="86"/>
      <c r="AV472" s="45"/>
      <c r="AY472" s="162"/>
      <c r="BF472" s="45"/>
      <c r="BG472" s="246"/>
      <c r="BI472" s="138"/>
      <c r="BJ472" s="54"/>
      <c r="BK472" s="74"/>
      <c r="BL472" s="86"/>
      <c r="CA472" s="102"/>
      <c r="CC472" s="86"/>
      <c r="CE472" s="102"/>
      <c r="CJ472" s="86"/>
      <c r="CP472" s="63"/>
      <c r="CQ472" s="54"/>
      <c r="CX472" s="86"/>
      <c r="DM472" s="342"/>
      <c r="DO472" s="63"/>
      <c r="DP472" s="86"/>
      <c r="ED472" s="54"/>
      <c r="EF472" s="63"/>
      <c r="EG472" s="86"/>
      <c r="EP472" s="63"/>
      <c r="EQ472" s="54"/>
      <c r="ER472" s="86"/>
      <c r="FF472" s="54"/>
      <c r="FG472" s="86"/>
      <c r="FO472" s="45"/>
      <c r="FT472" s="86"/>
      <c r="FW472" s="63"/>
      <c r="FX472" s="54"/>
      <c r="GB472" s="86"/>
      <c r="GK472" s="45"/>
      <c r="GL472" s="54"/>
      <c r="GS472" s="86"/>
      <c r="HC472" s="63"/>
      <c r="HJ472" s="86"/>
      <c r="HT472" s="63"/>
      <c r="HZ472" s="54"/>
      <c r="IA472" s="86"/>
      <c r="IJ472" s="54"/>
      <c r="IK472" s="86"/>
    </row>
    <row r="473" spans="1:245">
      <c r="A473" s="86">
        <v>443</v>
      </c>
      <c r="R473" s="63"/>
      <c r="S473" s="86"/>
      <c r="AF473" s="74"/>
      <c r="AS473" s="145"/>
      <c r="AU473" s="86"/>
      <c r="AV473" s="45"/>
      <c r="AY473" s="162"/>
      <c r="BF473" s="45"/>
      <c r="BG473" s="246"/>
      <c r="BI473" s="138"/>
      <c r="BJ473" s="54"/>
      <c r="BK473" s="74"/>
      <c r="BL473" s="86"/>
      <c r="CA473" s="102"/>
      <c r="CC473" s="86"/>
      <c r="CE473" s="102"/>
      <c r="CJ473" s="86"/>
      <c r="CP473" s="63"/>
      <c r="CQ473" s="54"/>
      <c r="CX473" s="86"/>
      <c r="DM473" s="342"/>
      <c r="DO473" s="63"/>
      <c r="DP473" s="86"/>
      <c r="ED473" s="54"/>
      <c r="EF473" s="63"/>
      <c r="EG473" s="86"/>
      <c r="EP473" s="63"/>
      <c r="EQ473" s="54"/>
      <c r="ER473" s="86"/>
      <c r="FF473" s="54"/>
      <c r="FG473" s="86"/>
      <c r="FO473" s="45"/>
      <c r="FT473" s="86"/>
      <c r="FW473" s="63"/>
      <c r="FX473" s="54"/>
      <c r="GB473" s="86"/>
      <c r="GK473" s="45"/>
      <c r="GL473" s="54"/>
      <c r="GS473" s="86"/>
      <c r="HC473" s="63"/>
      <c r="HJ473" s="86"/>
      <c r="HT473" s="63"/>
      <c r="HZ473" s="54"/>
      <c r="IA473" s="86"/>
      <c r="IJ473" s="54"/>
      <c r="IK473" s="86"/>
    </row>
    <row r="474" spans="1:245">
      <c r="A474" s="86">
        <v>444</v>
      </c>
      <c r="R474" s="63"/>
      <c r="S474" s="86"/>
      <c r="AF474" s="74"/>
      <c r="AS474" s="145"/>
      <c r="AU474" s="86"/>
      <c r="AV474" s="45"/>
      <c r="AY474" s="162"/>
      <c r="BF474" s="45"/>
      <c r="BG474" s="246"/>
      <c r="BI474" s="138"/>
      <c r="BJ474" s="54"/>
      <c r="BK474" s="74"/>
      <c r="BL474" s="86"/>
      <c r="CA474" s="102"/>
      <c r="CC474" s="86"/>
      <c r="CE474" s="102"/>
      <c r="CJ474" s="86"/>
      <c r="CP474" s="63"/>
      <c r="CQ474" s="54"/>
      <c r="CX474" s="86"/>
      <c r="DM474" s="342"/>
      <c r="DO474" s="63"/>
      <c r="DP474" s="86"/>
      <c r="ED474" s="54"/>
      <c r="EF474" s="63"/>
      <c r="EG474" s="86"/>
      <c r="EP474" s="63"/>
      <c r="EQ474" s="54"/>
      <c r="ER474" s="86"/>
      <c r="FF474" s="54"/>
      <c r="FG474" s="86"/>
      <c r="FO474" s="45"/>
      <c r="FT474" s="86"/>
      <c r="FW474" s="63"/>
      <c r="FX474" s="54"/>
      <c r="GB474" s="86"/>
      <c r="GK474" s="45"/>
      <c r="GL474" s="54"/>
      <c r="GS474" s="86"/>
      <c r="HC474" s="63"/>
      <c r="HJ474" s="86"/>
      <c r="HT474" s="63"/>
      <c r="HZ474" s="54"/>
      <c r="IA474" s="86"/>
      <c r="IJ474" s="54"/>
      <c r="IK474" s="86"/>
    </row>
    <row r="475" spans="1:245">
      <c r="A475" s="86">
        <v>445</v>
      </c>
      <c r="R475" s="63"/>
      <c r="S475" s="86"/>
      <c r="AF475" s="74"/>
      <c r="AS475" s="145"/>
      <c r="AU475" s="86"/>
      <c r="AV475" s="45"/>
      <c r="AY475" s="162"/>
      <c r="BF475" s="45"/>
      <c r="BG475" s="246"/>
      <c r="BI475" s="138"/>
      <c r="BJ475" s="54"/>
      <c r="BK475" s="74"/>
      <c r="BL475" s="86"/>
      <c r="CA475" s="102"/>
      <c r="CC475" s="86"/>
      <c r="CE475" s="102"/>
      <c r="CJ475" s="86"/>
      <c r="CP475" s="63"/>
      <c r="CQ475" s="54"/>
      <c r="CX475" s="86"/>
      <c r="DM475" s="342"/>
      <c r="DO475" s="63"/>
      <c r="DP475" s="86"/>
      <c r="ED475" s="54"/>
      <c r="EF475" s="63"/>
      <c r="EG475" s="86"/>
      <c r="EP475" s="63"/>
      <c r="EQ475" s="54"/>
      <c r="ER475" s="86"/>
      <c r="FF475" s="54"/>
      <c r="FG475" s="86"/>
      <c r="FO475" s="45"/>
      <c r="FT475" s="86"/>
      <c r="FW475" s="63"/>
      <c r="FX475" s="54"/>
      <c r="GB475" s="86"/>
      <c r="GK475" s="45"/>
      <c r="GL475" s="54"/>
      <c r="GS475" s="86"/>
      <c r="HC475" s="63"/>
      <c r="HJ475" s="86"/>
      <c r="HT475" s="63"/>
      <c r="HZ475" s="54"/>
      <c r="IA475" s="86"/>
      <c r="IJ475" s="54"/>
      <c r="IK475" s="86"/>
    </row>
    <row r="476" spans="1:245">
      <c r="A476" s="86">
        <v>446</v>
      </c>
      <c r="R476" s="63"/>
      <c r="S476" s="86"/>
      <c r="AF476" s="74"/>
      <c r="AS476" s="145"/>
      <c r="AU476" s="86"/>
      <c r="AV476" s="45"/>
      <c r="AY476" s="162"/>
      <c r="BF476" s="45"/>
      <c r="BG476" s="246"/>
      <c r="BI476" s="138"/>
      <c r="BJ476" s="54"/>
      <c r="BK476" s="74"/>
      <c r="BL476" s="86"/>
      <c r="CA476" s="102"/>
      <c r="CC476" s="86"/>
      <c r="CE476" s="102"/>
      <c r="CJ476" s="86"/>
      <c r="CP476" s="63"/>
      <c r="CQ476" s="54"/>
      <c r="CX476" s="86"/>
      <c r="DM476" s="342"/>
      <c r="DO476" s="63"/>
      <c r="DP476" s="86"/>
      <c r="ED476" s="54"/>
      <c r="EF476" s="63"/>
      <c r="EG476" s="86"/>
      <c r="EP476" s="63"/>
      <c r="EQ476" s="54"/>
      <c r="ER476" s="86"/>
      <c r="FF476" s="54"/>
      <c r="FG476" s="86"/>
      <c r="FO476" s="45"/>
      <c r="FT476" s="86"/>
      <c r="FW476" s="63"/>
      <c r="FX476" s="54"/>
      <c r="GB476" s="86"/>
      <c r="GK476" s="45"/>
      <c r="GL476" s="54"/>
      <c r="GS476" s="86"/>
      <c r="HC476" s="63"/>
      <c r="HJ476" s="86"/>
      <c r="HT476" s="63"/>
      <c r="HZ476" s="54"/>
      <c r="IA476" s="86"/>
      <c r="IJ476" s="54"/>
      <c r="IK476" s="86"/>
    </row>
    <row r="477" spans="1:245">
      <c r="A477" s="86">
        <v>447</v>
      </c>
      <c r="R477" s="63"/>
      <c r="S477" s="86"/>
      <c r="AF477" s="74"/>
      <c r="AS477" s="145"/>
      <c r="AU477" s="86"/>
      <c r="AV477" s="45"/>
      <c r="AY477" s="162"/>
      <c r="BF477" s="45"/>
      <c r="BG477" s="246"/>
      <c r="BI477" s="138"/>
      <c r="BJ477" s="54"/>
      <c r="BK477" s="74"/>
      <c r="BL477" s="86"/>
      <c r="CA477" s="102"/>
      <c r="CC477" s="86"/>
      <c r="CE477" s="102"/>
      <c r="CJ477" s="86"/>
      <c r="CP477" s="63"/>
      <c r="CQ477" s="54"/>
      <c r="CX477" s="86"/>
      <c r="DM477" s="342"/>
      <c r="DO477" s="63"/>
      <c r="DP477" s="86"/>
      <c r="ED477" s="54"/>
      <c r="EF477" s="63"/>
      <c r="EG477" s="86"/>
      <c r="EP477" s="63"/>
      <c r="EQ477" s="54"/>
      <c r="ER477" s="86"/>
      <c r="FF477" s="54"/>
      <c r="FG477" s="86"/>
      <c r="FO477" s="45"/>
      <c r="FT477" s="86"/>
      <c r="FW477" s="63"/>
      <c r="FX477" s="54"/>
      <c r="GB477" s="86"/>
      <c r="GK477" s="45"/>
      <c r="GL477" s="54"/>
      <c r="GS477" s="86"/>
      <c r="HC477" s="63"/>
      <c r="HJ477" s="86"/>
      <c r="HT477" s="63"/>
      <c r="HZ477" s="54"/>
      <c r="IA477" s="86"/>
      <c r="IJ477" s="54"/>
      <c r="IK477" s="86"/>
    </row>
    <row r="478" spans="1:245">
      <c r="A478" s="86">
        <v>448</v>
      </c>
      <c r="R478" s="63"/>
      <c r="S478" s="86"/>
      <c r="AF478" s="74"/>
      <c r="AS478" s="145"/>
      <c r="AU478" s="86"/>
      <c r="AV478" s="45"/>
      <c r="AY478" s="162"/>
      <c r="BF478" s="45"/>
      <c r="BG478" s="246"/>
      <c r="BI478" s="138"/>
      <c r="BJ478" s="54"/>
      <c r="BK478" s="74"/>
      <c r="BL478" s="86"/>
      <c r="CA478" s="102"/>
      <c r="CC478" s="86"/>
      <c r="CE478" s="102"/>
      <c r="CJ478" s="86"/>
      <c r="CP478" s="63"/>
      <c r="CQ478" s="54"/>
      <c r="CX478" s="86"/>
      <c r="DM478" s="342"/>
      <c r="DO478" s="63"/>
      <c r="DP478" s="86"/>
      <c r="ED478" s="54"/>
      <c r="EF478" s="63"/>
      <c r="EG478" s="86"/>
      <c r="EP478" s="63"/>
      <c r="EQ478" s="54"/>
      <c r="ER478" s="86"/>
      <c r="FF478" s="54"/>
      <c r="FG478" s="86"/>
      <c r="FO478" s="45"/>
      <c r="FT478" s="86"/>
      <c r="FW478" s="63"/>
      <c r="FX478" s="54"/>
      <c r="GB478" s="86"/>
      <c r="GK478" s="45"/>
      <c r="GL478" s="54"/>
      <c r="GS478" s="86"/>
      <c r="HC478" s="63"/>
      <c r="HJ478" s="86"/>
      <c r="HT478" s="63"/>
      <c r="HZ478" s="54"/>
      <c r="IA478" s="86"/>
      <c r="IJ478" s="54"/>
      <c r="IK478" s="86"/>
    </row>
    <row r="479" spans="1:245">
      <c r="A479" s="86">
        <v>449</v>
      </c>
      <c r="R479" s="63"/>
      <c r="S479" s="86"/>
      <c r="AF479" s="74"/>
      <c r="AS479" s="145"/>
      <c r="AU479" s="86"/>
      <c r="AV479" s="45"/>
      <c r="AY479" s="162"/>
      <c r="BF479" s="45"/>
      <c r="BG479" s="246"/>
      <c r="BI479" s="138"/>
      <c r="BJ479" s="54"/>
      <c r="BK479" s="74"/>
      <c r="BL479" s="86"/>
      <c r="CA479" s="102"/>
      <c r="CC479" s="86"/>
      <c r="CE479" s="102"/>
      <c r="CJ479" s="86"/>
      <c r="CP479" s="63"/>
      <c r="CQ479" s="54"/>
      <c r="CX479" s="86"/>
      <c r="DM479" s="342"/>
      <c r="DO479" s="63"/>
      <c r="DP479" s="86"/>
      <c r="ED479" s="54"/>
      <c r="EF479" s="63"/>
      <c r="EG479" s="86"/>
      <c r="EP479" s="63"/>
      <c r="EQ479" s="54"/>
      <c r="ER479" s="86"/>
      <c r="FF479" s="54"/>
      <c r="FG479" s="86"/>
      <c r="FO479" s="45"/>
      <c r="FT479" s="86"/>
      <c r="FW479" s="63"/>
      <c r="FX479" s="54"/>
      <c r="GB479" s="86"/>
      <c r="GK479" s="45"/>
      <c r="GL479" s="54"/>
      <c r="GS479" s="86"/>
      <c r="HC479" s="63"/>
      <c r="HJ479" s="86"/>
      <c r="HT479" s="63"/>
      <c r="HZ479" s="54"/>
      <c r="IA479" s="86"/>
      <c r="IJ479" s="54"/>
      <c r="IK479" s="86"/>
    </row>
    <row r="480" spans="1:245">
      <c r="A480" s="86">
        <v>450</v>
      </c>
      <c r="R480" s="63"/>
      <c r="S480" s="86"/>
      <c r="AF480" s="74"/>
      <c r="AS480" s="145"/>
      <c r="AU480" s="86"/>
      <c r="AV480" s="45"/>
      <c r="AY480" s="162"/>
      <c r="BF480" s="45"/>
      <c r="BG480" s="246"/>
      <c r="BI480" s="138"/>
      <c r="BJ480" s="54"/>
      <c r="BK480" s="74"/>
      <c r="BL480" s="86"/>
      <c r="CA480" s="102"/>
      <c r="CC480" s="86"/>
      <c r="CE480" s="102"/>
      <c r="CJ480" s="86"/>
      <c r="CP480" s="63"/>
      <c r="CQ480" s="54"/>
      <c r="CX480" s="86"/>
      <c r="DM480" s="342"/>
      <c r="DO480" s="63"/>
      <c r="DP480" s="86"/>
      <c r="ED480" s="54"/>
      <c r="EF480" s="63"/>
      <c r="EG480" s="86"/>
      <c r="EP480" s="63"/>
      <c r="EQ480" s="54"/>
      <c r="ER480" s="86"/>
      <c r="FF480" s="54"/>
      <c r="FG480" s="86"/>
      <c r="FO480" s="45"/>
      <c r="FT480" s="86"/>
      <c r="FW480" s="63"/>
      <c r="FX480" s="54"/>
      <c r="GB480" s="86"/>
      <c r="GK480" s="45"/>
      <c r="GL480" s="54"/>
      <c r="GS480" s="86"/>
      <c r="HC480" s="63"/>
      <c r="HJ480" s="86"/>
      <c r="HT480" s="63"/>
      <c r="HZ480" s="54"/>
      <c r="IA480" s="86"/>
      <c r="IJ480" s="54"/>
      <c r="IK480" s="86"/>
    </row>
    <row r="481" spans="1:245">
      <c r="A481" s="86">
        <v>451</v>
      </c>
      <c r="R481" s="63"/>
      <c r="S481" s="86"/>
      <c r="AF481" s="74"/>
      <c r="AS481" s="145"/>
      <c r="AU481" s="86"/>
      <c r="AV481" s="45"/>
      <c r="AY481" s="162"/>
      <c r="BF481" s="45"/>
      <c r="BG481" s="246"/>
      <c r="BI481" s="138"/>
      <c r="BJ481" s="54"/>
      <c r="BK481" s="74"/>
      <c r="BL481" s="86"/>
      <c r="CA481" s="102"/>
      <c r="CC481" s="86"/>
      <c r="CE481" s="102"/>
      <c r="CJ481" s="86"/>
      <c r="CP481" s="63"/>
      <c r="CQ481" s="54"/>
      <c r="CX481" s="86"/>
      <c r="DM481" s="342"/>
      <c r="DO481" s="63"/>
      <c r="DP481" s="86"/>
      <c r="ED481" s="54"/>
      <c r="EF481" s="63"/>
      <c r="EG481" s="86"/>
      <c r="EP481" s="63"/>
      <c r="EQ481" s="54"/>
      <c r="ER481" s="86"/>
      <c r="FF481" s="54"/>
      <c r="FG481" s="86"/>
      <c r="FO481" s="45"/>
      <c r="FT481" s="86"/>
      <c r="FW481" s="63"/>
      <c r="FX481" s="54"/>
      <c r="GB481" s="86"/>
      <c r="GK481" s="45"/>
      <c r="GL481" s="54"/>
      <c r="GS481" s="86"/>
      <c r="HC481" s="63"/>
      <c r="HJ481" s="86"/>
      <c r="HT481" s="63"/>
      <c r="HZ481" s="54"/>
      <c r="IA481" s="86"/>
      <c r="IJ481" s="54"/>
      <c r="IK481" s="86"/>
    </row>
    <row r="482" spans="1:245">
      <c r="A482" s="86">
        <v>452</v>
      </c>
      <c r="R482" s="63"/>
      <c r="S482" s="86"/>
      <c r="AF482" s="74"/>
      <c r="AS482" s="145"/>
      <c r="AU482" s="86"/>
      <c r="AV482" s="45"/>
      <c r="AY482" s="162"/>
      <c r="BF482" s="45"/>
      <c r="BG482" s="246"/>
      <c r="BI482" s="138"/>
      <c r="BJ482" s="54"/>
      <c r="BK482" s="74"/>
      <c r="BL482" s="86"/>
      <c r="CA482" s="102"/>
      <c r="CC482" s="86"/>
      <c r="CE482" s="102"/>
      <c r="CJ482" s="86"/>
      <c r="CP482" s="63"/>
      <c r="CQ482" s="54"/>
      <c r="CX482" s="86"/>
      <c r="DM482" s="342"/>
      <c r="DO482" s="63"/>
      <c r="DP482" s="86"/>
      <c r="ED482" s="54"/>
      <c r="EF482" s="63"/>
      <c r="EG482" s="86"/>
      <c r="EP482" s="63"/>
      <c r="EQ482" s="54"/>
      <c r="ER482" s="86"/>
      <c r="FF482" s="54"/>
      <c r="FG482" s="86"/>
      <c r="FO482" s="45"/>
      <c r="FT482" s="86"/>
      <c r="FW482" s="63"/>
      <c r="FX482" s="54"/>
      <c r="GB482" s="86"/>
      <c r="GK482" s="45"/>
      <c r="GL482" s="54"/>
      <c r="GS482" s="86"/>
      <c r="HC482" s="63"/>
      <c r="HJ482" s="86"/>
      <c r="HT482" s="63"/>
      <c r="HZ482" s="54"/>
      <c r="IA482" s="86"/>
      <c r="IJ482" s="54"/>
      <c r="IK482" s="86"/>
    </row>
    <row r="483" spans="1:245">
      <c r="A483" s="86">
        <v>453</v>
      </c>
      <c r="R483" s="63"/>
      <c r="S483" s="86"/>
      <c r="AF483" s="74"/>
      <c r="AS483" s="145"/>
      <c r="AU483" s="86"/>
      <c r="AV483" s="45"/>
      <c r="AY483" s="162"/>
      <c r="BF483" s="45"/>
      <c r="BG483" s="246"/>
      <c r="BI483" s="138"/>
      <c r="BJ483" s="54"/>
      <c r="BK483" s="74"/>
      <c r="BL483" s="86"/>
      <c r="CA483" s="102"/>
      <c r="CC483" s="86"/>
      <c r="CE483" s="102"/>
      <c r="CJ483" s="86"/>
      <c r="CP483" s="63"/>
      <c r="CQ483" s="54"/>
      <c r="CX483" s="86"/>
      <c r="DM483" s="342"/>
      <c r="DO483" s="63"/>
      <c r="DP483" s="86"/>
      <c r="ED483" s="54"/>
      <c r="EF483" s="63"/>
      <c r="EG483" s="86"/>
      <c r="EP483" s="63"/>
      <c r="EQ483" s="54"/>
      <c r="ER483" s="86"/>
      <c r="FF483" s="54"/>
      <c r="FG483" s="86"/>
      <c r="FO483" s="45"/>
      <c r="FT483" s="86"/>
      <c r="FW483" s="63"/>
      <c r="FX483" s="54"/>
      <c r="GB483" s="86"/>
      <c r="GK483" s="45"/>
      <c r="GL483" s="54"/>
      <c r="GS483" s="86"/>
      <c r="HC483" s="63"/>
      <c r="HJ483" s="86"/>
      <c r="HT483" s="63"/>
      <c r="HZ483" s="54"/>
      <c r="IA483" s="86"/>
      <c r="IJ483" s="54"/>
      <c r="IK483" s="86"/>
    </row>
    <row r="484" spans="1:245">
      <c r="A484" s="86">
        <v>454</v>
      </c>
      <c r="R484" s="63"/>
      <c r="S484" s="86"/>
      <c r="AF484" s="74"/>
      <c r="AS484" s="145"/>
      <c r="AU484" s="86"/>
      <c r="AV484" s="45"/>
      <c r="AY484" s="162"/>
      <c r="BF484" s="45"/>
      <c r="BG484" s="246"/>
      <c r="BI484" s="138"/>
      <c r="BJ484" s="54"/>
      <c r="BK484" s="74"/>
      <c r="BL484" s="86"/>
      <c r="CA484" s="102"/>
      <c r="CC484" s="86"/>
      <c r="CE484" s="102"/>
      <c r="CJ484" s="86"/>
      <c r="CP484" s="63"/>
      <c r="CQ484" s="54"/>
      <c r="CX484" s="86"/>
      <c r="DM484" s="342"/>
      <c r="DO484" s="63"/>
      <c r="DP484" s="86"/>
      <c r="ED484" s="54"/>
      <c r="EF484" s="63"/>
      <c r="EG484" s="86"/>
      <c r="EP484" s="63"/>
      <c r="EQ484" s="54"/>
      <c r="ER484" s="86"/>
      <c r="FF484" s="54"/>
      <c r="FG484" s="86"/>
      <c r="FO484" s="45"/>
      <c r="FT484" s="86"/>
      <c r="FW484" s="63"/>
      <c r="FX484" s="54"/>
      <c r="GB484" s="86"/>
      <c r="GK484" s="45"/>
      <c r="GL484" s="54"/>
      <c r="GS484" s="86"/>
      <c r="HC484" s="63"/>
      <c r="HJ484" s="86"/>
      <c r="HT484" s="63"/>
      <c r="HZ484" s="54"/>
      <c r="IA484" s="86"/>
      <c r="IJ484" s="54"/>
      <c r="IK484" s="86"/>
    </row>
    <row r="485" spans="1:245">
      <c r="A485" s="86">
        <v>455</v>
      </c>
      <c r="R485" s="63"/>
      <c r="S485" s="86"/>
      <c r="AF485" s="74"/>
      <c r="AS485" s="145"/>
      <c r="AU485" s="86"/>
      <c r="AV485" s="45"/>
      <c r="AY485" s="162"/>
      <c r="BF485" s="45"/>
      <c r="BG485" s="246"/>
      <c r="BI485" s="138"/>
      <c r="BJ485" s="54"/>
      <c r="BK485" s="74"/>
      <c r="BL485" s="86"/>
      <c r="CA485" s="102"/>
      <c r="CC485" s="86"/>
      <c r="CE485" s="102"/>
      <c r="CJ485" s="86"/>
      <c r="CP485" s="63"/>
      <c r="CQ485" s="54"/>
      <c r="CX485" s="86"/>
      <c r="DM485" s="342"/>
      <c r="DO485" s="63"/>
      <c r="DP485" s="86"/>
      <c r="ED485" s="54"/>
      <c r="EF485" s="63"/>
      <c r="EG485" s="86"/>
      <c r="EP485" s="63"/>
      <c r="EQ485" s="54"/>
      <c r="ER485" s="86"/>
      <c r="FF485" s="54"/>
      <c r="FG485" s="86"/>
      <c r="FO485" s="45"/>
      <c r="FT485" s="86"/>
      <c r="FW485" s="63"/>
      <c r="FX485" s="54"/>
      <c r="GB485" s="86"/>
      <c r="GK485" s="45"/>
      <c r="GL485" s="54"/>
      <c r="GS485" s="86"/>
      <c r="HC485" s="63"/>
      <c r="HJ485" s="86"/>
      <c r="HT485" s="63"/>
      <c r="HZ485" s="54"/>
      <c r="IA485" s="86"/>
      <c r="IJ485" s="54"/>
      <c r="IK485" s="86"/>
    </row>
    <row r="486" spans="1:245">
      <c r="A486" s="86">
        <v>456</v>
      </c>
      <c r="R486" s="63"/>
      <c r="S486" s="86"/>
      <c r="AF486" s="74"/>
      <c r="AS486" s="145"/>
      <c r="AU486" s="86"/>
      <c r="AV486" s="45"/>
      <c r="AY486" s="162"/>
      <c r="BF486" s="45"/>
      <c r="BG486" s="246"/>
      <c r="BI486" s="138"/>
      <c r="BJ486" s="54"/>
      <c r="BK486" s="74"/>
      <c r="BL486" s="86"/>
      <c r="CA486" s="102"/>
      <c r="CC486" s="86"/>
      <c r="CE486" s="102"/>
      <c r="CJ486" s="86"/>
      <c r="CP486" s="63"/>
      <c r="CQ486" s="54"/>
      <c r="CX486" s="86"/>
      <c r="DM486" s="342"/>
      <c r="DO486" s="63"/>
      <c r="DP486" s="86"/>
      <c r="ED486" s="54"/>
      <c r="EF486" s="63"/>
      <c r="EG486" s="86"/>
      <c r="EP486" s="63"/>
      <c r="EQ486" s="54"/>
      <c r="ER486" s="86"/>
      <c r="FF486" s="54"/>
      <c r="FG486" s="86"/>
      <c r="FO486" s="45"/>
      <c r="FT486" s="86"/>
      <c r="FW486" s="63"/>
      <c r="FX486" s="54"/>
      <c r="GB486" s="86"/>
      <c r="GK486" s="45"/>
      <c r="GL486" s="54"/>
      <c r="GS486" s="86"/>
      <c r="HC486" s="63"/>
      <c r="HJ486" s="86"/>
      <c r="HT486" s="63"/>
      <c r="HZ486" s="54"/>
      <c r="IA486" s="86"/>
      <c r="IJ486" s="54"/>
      <c r="IK486" s="86"/>
    </row>
    <row r="487" spans="1:245">
      <c r="A487" s="86">
        <v>457</v>
      </c>
      <c r="R487" s="63"/>
      <c r="S487" s="86"/>
      <c r="AF487" s="74"/>
      <c r="AS487" s="145"/>
      <c r="AU487" s="86"/>
      <c r="AV487" s="45"/>
      <c r="AY487" s="162"/>
      <c r="BF487" s="45"/>
      <c r="BG487" s="246"/>
      <c r="BI487" s="138"/>
      <c r="BJ487" s="54"/>
      <c r="BK487" s="74"/>
      <c r="BL487" s="86"/>
      <c r="CA487" s="102"/>
      <c r="CC487" s="86"/>
      <c r="CE487" s="102"/>
      <c r="CJ487" s="86"/>
      <c r="CP487" s="63"/>
      <c r="CQ487" s="54"/>
      <c r="CX487" s="86"/>
      <c r="DM487" s="342"/>
      <c r="DO487" s="63"/>
      <c r="DP487" s="86"/>
      <c r="ED487" s="54"/>
      <c r="EF487" s="63"/>
      <c r="EG487" s="86"/>
      <c r="EP487" s="63"/>
      <c r="EQ487" s="54"/>
      <c r="ER487" s="86"/>
      <c r="FF487" s="54"/>
      <c r="FG487" s="86"/>
      <c r="FO487" s="45"/>
      <c r="FT487" s="86"/>
      <c r="FW487" s="63"/>
      <c r="FX487" s="54"/>
      <c r="GB487" s="86"/>
      <c r="GK487" s="45"/>
      <c r="GL487" s="54"/>
      <c r="GS487" s="86"/>
      <c r="HC487" s="63"/>
      <c r="HJ487" s="86"/>
      <c r="HT487" s="63"/>
      <c r="HZ487" s="54"/>
      <c r="IA487" s="86"/>
      <c r="IJ487" s="54"/>
      <c r="IK487" s="86"/>
    </row>
    <row r="488" spans="1:245">
      <c r="A488" s="86">
        <v>458</v>
      </c>
      <c r="R488" s="63"/>
      <c r="S488" s="86"/>
      <c r="AF488" s="74"/>
      <c r="AS488" s="145"/>
      <c r="AU488" s="86"/>
      <c r="AV488" s="45"/>
      <c r="AY488" s="162"/>
      <c r="BF488" s="45"/>
      <c r="BG488" s="246"/>
      <c r="BI488" s="138"/>
      <c r="BJ488" s="54"/>
      <c r="BK488" s="74"/>
      <c r="BL488" s="86"/>
      <c r="CA488" s="102"/>
      <c r="CC488" s="86"/>
      <c r="CE488" s="102"/>
      <c r="CJ488" s="86"/>
      <c r="CP488" s="63"/>
      <c r="CQ488" s="54"/>
      <c r="CX488" s="86"/>
      <c r="DM488" s="342"/>
      <c r="DO488" s="63"/>
      <c r="DP488" s="86"/>
      <c r="ED488" s="54"/>
      <c r="EF488" s="63"/>
      <c r="EG488" s="86"/>
      <c r="EP488" s="63"/>
      <c r="EQ488" s="54"/>
      <c r="ER488" s="86"/>
      <c r="FF488" s="54"/>
      <c r="FG488" s="86"/>
      <c r="FO488" s="45"/>
      <c r="FT488" s="86"/>
      <c r="FW488" s="63"/>
      <c r="FX488" s="54"/>
      <c r="GB488" s="86"/>
      <c r="GK488" s="45"/>
      <c r="GL488" s="54"/>
      <c r="GS488" s="86"/>
      <c r="HC488" s="63"/>
      <c r="HJ488" s="86"/>
      <c r="HT488" s="63"/>
      <c r="HZ488" s="54"/>
      <c r="IA488" s="86"/>
      <c r="IJ488" s="54"/>
      <c r="IK488" s="86"/>
    </row>
    <row r="489" spans="1:245">
      <c r="A489" s="86">
        <v>459</v>
      </c>
      <c r="R489" s="63"/>
      <c r="S489" s="86"/>
      <c r="AF489" s="74"/>
      <c r="AS489" s="145"/>
      <c r="AU489" s="86"/>
      <c r="AV489" s="45"/>
      <c r="AY489" s="162"/>
      <c r="BF489" s="45"/>
      <c r="BG489" s="246"/>
      <c r="BI489" s="138"/>
      <c r="BJ489" s="54"/>
      <c r="BK489" s="74"/>
      <c r="BL489" s="86"/>
      <c r="CA489" s="102"/>
      <c r="CC489" s="86"/>
      <c r="CE489" s="102"/>
      <c r="CJ489" s="86"/>
      <c r="CP489" s="63"/>
      <c r="CQ489" s="54"/>
      <c r="CX489" s="86"/>
      <c r="DM489" s="342"/>
      <c r="DO489" s="63"/>
      <c r="DP489" s="86"/>
      <c r="ED489" s="54"/>
      <c r="EF489" s="63"/>
      <c r="EG489" s="86"/>
      <c r="EP489" s="63"/>
      <c r="EQ489" s="54"/>
      <c r="ER489" s="86"/>
      <c r="FF489" s="54"/>
      <c r="FG489" s="86"/>
      <c r="FO489" s="45"/>
      <c r="FT489" s="86"/>
      <c r="FW489" s="63"/>
      <c r="FX489" s="54"/>
      <c r="GB489" s="86"/>
      <c r="GK489" s="45"/>
      <c r="GL489" s="54"/>
      <c r="GS489" s="86"/>
      <c r="HC489" s="63"/>
      <c r="HJ489" s="86"/>
      <c r="HT489" s="63"/>
      <c r="HZ489" s="54"/>
      <c r="IA489" s="86"/>
      <c r="IJ489" s="54"/>
      <c r="IK489" s="86"/>
    </row>
    <row r="490" spans="1:245">
      <c r="A490" s="86">
        <v>460</v>
      </c>
      <c r="R490" s="63"/>
      <c r="S490" s="86"/>
      <c r="AF490" s="74"/>
      <c r="AS490" s="145"/>
      <c r="AU490" s="86"/>
      <c r="AV490" s="45"/>
      <c r="AY490" s="162"/>
      <c r="BF490" s="45"/>
      <c r="BG490" s="246"/>
      <c r="BI490" s="138"/>
      <c r="BJ490" s="54"/>
      <c r="BK490" s="74"/>
      <c r="BL490" s="86"/>
      <c r="CA490" s="102"/>
      <c r="CC490" s="86"/>
      <c r="CE490" s="102"/>
      <c r="CJ490" s="86"/>
      <c r="CP490" s="63"/>
      <c r="CQ490" s="54"/>
      <c r="CX490" s="86"/>
      <c r="DM490" s="342"/>
      <c r="DO490" s="63"/>
      <c r="DP490" s="86"/>
      <c r="ED490" s="54"/>
      <c r="EF490" s="63"/>
      <c r="EG490" s="86"/>
      <c r="EP490" s="63"/>
      <c r="EQ490" s="54"/>
      <c r="ER490" s="86"/>
      <c r="FF490" s="54"/>
      <c r="FG490" s="86"/>
      <c r="FO490" s="45"/>
      <c r="FT490" s="86"/>
      <c r="FW490" s="63"/>
      <c r="FX490" s="54"/>
      <c r="GB490" s="86"/>
      <c r="GK490" s="45"/>
      <c r="GL490" s="54"/>
      <c r="GS490" s="86"/>
      <c r="HC490" s="63"/>
      <c r="HJ490" s="86"/>
      <c r="HT490" s="63"/>
      <c r="HZ490" s="54"/>
      <c r="IA490" s="86"/>
      <c r="IJ490" s="54"/>
      <c r="IK490" s="86"/>
    </row>
    <row r="491" spans="1:245">
      <c r="A491" s="86">
        <v>461</v>
      </c>
      <c r="R491" s="63"/>
      <c r="S491" s="86"/>
      <c r="AF491" s="74"/>
      <c r="AS491" s="145"/>
      <c r="AU491" s="86"/>
      <c r="AV491" s="45"/>
      <c r="AY491" s="162"/>
      <c r="BF491" s="45"/>
      <c r="BG491" s="246"/>
      <c r="BI491" s="138"/>
      <c r="BJ491" s="54"/>
      <c r="BK491" s="74"/>
      <c r="BL491" s="86"/>
      <c r="CA491" s="102"/>
      <c r="CC491" s="86"/>
      <c r="CE491" s="102"/>
      <c r="CJ491" s="86"/>
      <c r="CP491" s="63"/>
      <c r="CQ491" s="54"/>
      <c r="CX491" s="86"/>
      <c r="DM491" s="342"/>
      <c r="DO491" s="63"/>
      <c r="DP491" s="86"/>
      <c r="ED491" s="54"/>
      <c r="EF491" s="63"/>
      <c r="EG491" s="86"/>
      <c r="EP491" s="63"/>
      <c r="EQ491" s="54"/>
      <c r="ER491" s="86"/>
      <c r="FF491" s="54"/>
      <c r="FG491" s="86"/>
      <c r="FO491" s="45"/>
      <c r="FT491" s="86"/>
      <c r="FW491" s="63"/>
      <c r="FX491" s="54"/>
      <c r="GB491" s="86"/>
      <c r="GK491" s="45"/>
      <c r="GL491" s="54"/>
      <c r="GS491" s="86"/>
      <c r="HC491" s="63"/>
      <c r="HJ491" s="86"/>
      <c r="HT491" s="63"/>
      <c r="HZ491" s="54"/>
      <c r="IA491" s="86"/>
      <c r="IJ491" s="54"/>
      <c r="IK491" s="86"/>
    </row>
    <row r="492" spans="1:245">
      <c r="A492" s="86">
        <v>462</v>
      </c>
      <c r="R492" s="63"/>
      <c r="S492" s="86"/>
      <c r="AF492" s="74"/>
      <c r="AS492" s="145"/>
      <c r="AU492" s="86"/>
      <c r="AV492" s="45"/>
      <c r="AY492" s="162"/>
      <c r="BF492" s="45"/>
      <c r="BG492" s="246"/>
      <c r="BI492" s="138"/>
      <c r="BJ492" s="54"/>
      <c r="BK492" s="74"/>
      <c r="BL492" s="86"/>
      <c r="CA492" s="102"/>
      <c r="CC492" s="86"/>
      <c r="CE492" s="102"/>
      <c r="CJ492" s="86"/>
      <c r="CP492" s="63"/>
      <c r="CQ492" s="54"/>
      <c r="CX492" s="86"/>
      <c r="DM492" s="342"/>
      <c r="DO492" s="63"/>
      <c r="DP492" s="86"/>
      <c r="ED492" s="54"/>
      <c r="EF492" s="63"/>
      <c r="EG492" s="86"/>
      <c r="EP492" s="63"/>
      <c r="EQ492" s="54"/>
      <c r="ER492" s="86"/>
      <c r="FF492" s="54"/>
      <c r="FG492" s="86"/>
      <c r="FO492" s="45"/>
      <c r="FT492" s="86"/>
      <c r="FW492" s="63"/>
      <c r="FX492" s="54"/>
      <c r="GB492" s="86"/>
      <c r="GK492" s="45"/>
      <c r="GL492" s="54"/>
      <c r="GS492" s="86"/>
      <c r="HC492" s="63"/>
      <c r="HJ492" s="86"/>
      <c r="HT492" s="63"/>
      <c r="HZ492" s="54"/>
      <c r="IA492" s="86"/>
      <c r="IJ492" s="54"/>
      <c r="IK492" s="86"/>
    </row>
    <row r="493" spans="1:245">
      <c r="A493" s="86">
        <v>463</v>
      </c>
      <c r="R493" s="63"/>
      <c r="S493" s="86"/>
      <c r="AF493" s="74"/>
      <c r="AS493" s="145"/>
      <c r="AU493" s="86"/>
      <c r="AV493" s="45"/>
      <c r="AY493" s="162"/>
      <c r="BF493" s="45"/>
      <c r="BG493" s="246"/>
      <c r="BI493" s="138"/>
      <c r="BJ493" s="54"/>
      <c r="BK493" s="74"/>
      <c r="BL493" s="86"/>
      <c r="CA493" s="102"/>
      <c r="CC493" s="86"/>
      <c r="CE493" s="102"/>
      <c r="CJ493" s="86"/>
      <c r="CP493" s="63"/>
      <c r="CQ493" s="54"/>
      <c r="CX493" s="86"/>
      <c r="DM493" s="342"/>
      <c r="DO493" s="63"/>
      <c r="DP493" s="86"/>
      <c r="ED493" s="54"/>
      <c r="EF493" s="63"/>
      <c r="EG493" s="86"/>
      <c r="EP493" s="63"/>
      <c r="EQ493" s="54"/>
      <c r="ER493" s="86"/>
      <c r="FF493" s="54"/>
      <c r="FG493" s="86"/>
      <c r="FO493" s="45"/>
      <c r="FT493" s="86"/>
      <c r="FW493" s="63"/>
      <c r="FX493" s="54"/>
      <c r="GB493" s="86"/>
      <c r="GK493" s="45"/>
      <c r="GL493" s="54"/>
      <c r="GS493" s="86"/>
      <c r="HC493" s="63"/>
      <c r="HJ493" s="86"/>
      <c r="HT493" s="63"/>
      <c r="HZ493" s="54"/>
      <c r="IA493" s="86"/>
      <c r="IJ493" s="54"/>
      <c r="IK493" s="86"/>
    </row>
    <row r="494" spans="1:245">
      <c r="A494" s="86">
        <v>464</v>
      </c>
      <c r="R494" s="63"/>
      <c r="S494" s="86"/>
      <c r="AF494" s="74"/>
      <c r="AS494" s="145"/>
      <c r="AU494" s="86"/>
      <c r="AV494" s="45"/>
      <c r="AY494" s="162"/>
      <c r="BF494" s="45"/>
      <c r="BG494" s="246"/>
      <c r="BI494" s="138"/>
      <c r="BJ494" s="54"/>
      <c r="BK494" s="74"/>
      <c r="BL494" s="86"/>
      <c r="CA494" s="102"/>
      <c r="CC494" s="86"/>
      <c r="CE494" s="102"/>
      <c r="CJ494" s="86"/>
      <c r="CP494" s="63"/>
      <c r="CQ494" s="54"/>
      <c r="CX494" s="86"/>
      <c r="DM494" s="342"/>
      <c r="DO494" s="63"/>
      <c r="DP494" s="86"/>
      <c r="ED494" s="54"/>
      <c r="EF494" s="63"/>
      <c r="EG494" s="86"/>
      <c r="EP494" s="63"/>
      <c r="EQ494" s="54"/>
      <c r="ER494" s="86"/>
      <c r="FF494" s="54"/>
      <c r="FG494" s="86"/>
      <c r="FO494" s="45"/>
      <c r="FT494" s="86"/>
      <c r="FW494" s="63"/>
      <c r="FX494" s="54"/>
      <c r="GB494" s="86"/>
      <c r="GK494" s="45"/>
      <c r="GL494" s="54"/>
      <c r="GS494" s="86"/>
      <c r="HC494" s="63"/>
      <c r="HJ494" s="86"/>
      <c r="HT494" s="63"/>
      <c r="HZ494" s="54"/>
      <c r="IA494" s="86"/>
      <c r="IJ494" s="54"/>
      <c r="IK494" s="86"/>
    </row>
    <row r="495" spans="1:245">
      <c r="A495" s="86">
        <v>465</v>
      </c>
      <c r="R495" s="63"/>
      <c r="S495" s="86"/>
      <c r="AF495" s="74"/>
      <c r="AS495" s="145"/>
      <c r="AU495" s="86"/>
      <c r="AV495" s="45"/>
      <c r="AY495" s="162"/>
      <c r="BF495" s="45"/>
      <c r="BG495" s="246"/>
      <c r="BI495" s="138"/>
      <c r="BJ495" s="54"/>
      <c r="BK495" s="74"/>
      <c r="BL495" s="86"/>
      <c r="CA495" s="102"/>
      <c r="CC495" s="86"/>
      <c r="CE495" s="102"/>
      <c r="CJ495" s="86"/>
      <c r="CP495" s="63"/>
      <c r="CQ495" s="54"/>
      <c r="CX495" s="86"/>
      <c r="DM495" s="342"/>
      <c r="DO495" s="63"/>
      <c r="DP495" s="86"/>
      <c r="ED495" s="54"/>
      <c r="EF495" s="63"/>
      <c r="EG495" s="86"/>
      <c r="EP495" s="63"/>
      <c r="EQ495" s="54"/>
      <c r="ER495" s="86"/>
      <c r="FF495" s="54"/>
      <c r="FG495" s="86"/>
      <c r="FO495" s="45"/>
      <c r="FT495" s="86"/>
      <c r="FW495" s="63"/>
      <c r="FX495" s="54"/>
      <c r="GB495" s="86"/>
      <c r="GK495" s="45"/>
      <c r="GL495" s="54"/>
      <c r="GS495" s="86"/>
      <c r="HC495" s="63"/>
      <c r="HJ495" s="86"/>
      <c r="HT495" s="63"/>
      <c r="HZ495" s="54"/>
      <c r="IA495" s="86"/>
      <c r="IJ495" s="54"/>
      <c r="IK495" s="86"/>
    </row>
    <row r="496" spans="1:245">
      <c r="A496" s="86">
        <v>466</v>
      </c>
      <c r="R496" s="63"/>
      <c r="S496" s="86"/>
      <c r="AF496" s="74"/>
      <c r="AS496" s="145"/>
      <c r="AU496" s="86"/>
      <c r="AV496" s="45"/>
      <c r="AY496" s="162"/>
      <c r="BF496" s="45"/>
      <c r="BG496" s="246"/>
      <c r="BI496" s="138"/>
      <c r="BJ496" s="54"/>
      <c r="BK496" s="74"/>
      <c r="BL496" s="86"/>
      <c r="CA496" s="102"/>
      <c r="CC496" s="86"/>
      <c r="CE496" s="102"/>
      <c r="CJ496" s="86"/>
      <c r="CP496" s="63"/>
      <c r="CQ496" s="54"/>
      <c r="CX496" s="86"/>
      <c r="DM496" s="342"/>
      <c r="DO496" s="63"/>
      <c r="DP496" s="86"/>
      <c r="ED496" s="54"/>
      <c r="EF496" s="63"/>
      <c r="EG496" s="86"/>
      <c r="EP496" s="63"/>
      <c r="EQ496" s="54"/>
      <c r="ER496" s="86"/>
      <c r="FF496" s="54"/>
      <c r="FG496" s="86"/>
      <c r="FO496" s="45"/>
      <c r="FT496" s="86"/>
      <c r="FW496" s="63"/>
      <c r="FX496" s="54"/>
      <c r="GB496" s="86"/>
      <c r="GK496" s="45"/>
      <c r="GL496" s="54"/>
      <c r="GS496" s="86"/>
      <c r="HC496" s="63"/>
      <c r="HJ496" s="86"/>
      <c r="HT496" s="63"/>
      <c r="HZ496" s="54"/>
      <c r="IA496" s="86"/>
      <c r="IJ496" s="54"/>
      <c r="IK496" s="86"/>
    </row>
    <row r="497" spans="1:245">
      <c r="A497" s="86">
        <v>467</v>
      </c>
      <c r="R497" s="63"/>
      <c r="S497" s="86"/>
      <c r="AF497" s="74"/>
      <c r="AS497" s="145"/>
      <c r="AU497" s="86"/>
      <c r="AV497" s="45"/>
      <c r="AY497" s="162"/>
      <c r="BF497" s="45"/>
      <c r="BG497" s="246"/>
      <c r="BI497" s="138"/>
      <c r="BJ497" s="54"/>
      <c r="BK497" s="74"/>
      <c r="BL497" s="86"/>
      <c r="CA497" s="102"/>
      <c r="CC497" s="86"/>
      <c r="CE497" s="102"/>
      <c r="CJ497" s="86"/>
      <c r="CP497" s="63"/>
      <c r="CQ497" s="54"/>
      <c r="CX497" s="86"/>
      <c r="DM497" s="342"/>
      <c r="DO497" s="63"/>
      <c r="DP497" s="86"/>
      <c r="ED497" s="54"/>
      <c r="EF497" s="63"/>
      <c r="EG497" s="86"/>
      <c r="EP497" s="63"/>
      <c r="EQ497" s="54"/>
      <c r="ER497" s="86"/>
      <c r="FF497" s="54"/>
      <c r="FG497" s="86"/>
      <c r="FO497" s="45"/>
      <c r="FT497" s="86"/>
      <c r="FW497" s="63"/>
      <c r="FX497" s="54"/>
      <c r="GB497" s="86"/>
      <c r="GK497" s="45"/>
      <c r="GL497" s="54"/>
      <c r="GS497" s="86"/>
      <c r="HC497" s="63"/>
      <c r="HJ497" s="86"/>
      <c r="HT497" s="63"/>
      <c r="HZ497" s="54"/>
      <c r="IA497" s="86"/>
      <c r="IJ497" s="54"/>
      <c r="IK497" s="86"/>
    </row>
    <row r="498" spans="1:245">
      <c r="A498" s="86">
        <v>468</v>
      </c>
      <c r="R498" s="63"/>
      <c r="S498" s="86"/>
      <c r="AF498" s="74"/>
      <c r="AS498" s="145"/>
      <c r="AU498" s="86"/>
      <c r="AV498" s="45"/>
      <c r="AY498" s="162"/>
      <c r="BF498" s="45"/>
      <c r="BG498" s="246"/>
      <c r="BI498" s="138"/>
      <c r="BJ498" s="54"/>
      <c r="BK498" s="74"/>
      <c r="BL498" s="86"/>
      <c r="CA498" s="102"/>
      <c r="CC498" s="86"/>
      <c r="CE498" s="102"/>
      <c r="CJ498" s="86"/>
      <c r="CP498" s="63"/>
      <c r="CQ498" s="54"/>
      <c r="CX498" s="86"/>
      <c r="DM498" s="342"/>
      <c r="DO498" s="63"/>
      <c r="DP498" s="86"/>
      <c r="ED498" s="54"/>
      <c r="EF498" s="63"/>
      <c r="EG498" s="86"/>
      <c r="EP498" s="63"/>
      <c r="EQ498" s="54"/>
      <c r="ER498" s="86"/>
      <c r="FF498" s="54"/>
      <c r="FG498" s="86"/>
      <c r="FO498" s="45"/>
      <c r="FT498" s="86"/>
      <c r="FW498" s="63"/>
      <c r="FX498" s="54"/>
      <c r="GB498" s="86"/>
      <c r="GK498" s="45"/>
      <c r="GL498" s="54"/>
      <c r="GS498" s="86"/>
      <c r="HC498" s="63"/>
      <c r="HJ498" s="86"/>
      <c r="HT498" s="63"/>
      <c r="HZ498" s="54"/>
      <c r="IA498" s="86"/>
      <c r="IJ498" s="54"/>
      <c r="IK498" s="86"/>
    </row>
    <row r="499" spans="1:245">
      <c r="A499" s="86">
        <v>469</v>
      </c>
      <c r="R499" s="63"/>
      <c r="S499" s="86"/>
      <c r="AF499" s="74"/>
      <c r="AS499" s="145"/>
      <c r="AU499" s="86"/>
      <c r="AV499" s="45"/>
      <c r="AY499" s="162"/>
      <c r="BF499" s="45"/>
      <c r="BG499" s="246"/>
      <c r="BI499" s="138"/>
      <c r="BJ499" s="54"/>
      <c r="BK499" s="74"/>
      <c r="BL499" s="86"/>
      <c r="CA499" s="102"/>
      <c r="CC499" s="86"/>
      <c r="CE499" s="102"/>
      <c r="CJ499" s="86"/>
      <c r="CP499" s="63"/>
      <c r="CQ499" s="54"/>
      <c r="CX499" s="86"/>
      <c r="DM499" s="342"/>
      <c r="DO499" s="63"/>
      <c r="DP499" s="86"/>
      <c r="ED499" s="54"/>
      <c r="EF499" s="63"/>
      <c r="EG499" s="86"/>
      <c r="EP499" s="63"/>
      <c r="EQ499" s="54"/>
      <c r="ER499" s="86"/>
      <c r="FF499" s="54"/>
      <c r="FG499" s="86"/>
      <c r="FO499" s="45"/>
      <c r="FT499" s="86"/>
      <c r="FW499" s="63"/>
      <c r="FX499" s="54"/>
      <c r="GB499" s="86"/>
      <c r="GK499" s="45"/>
      <c r="GL499" s="54"/>
      <c r="GS499" s="86"/>
      <c r="HC499" s="63"/>
      <c r="HJ499" s="86"/>
      <c r="HT499" s="63"/>
      <c r="HZ499" s="54"/>
      <c r="IA499" s="86"/>
      <c r="IJ499" s="54"/>
      <c r="IK499" s="86"/>
    </row>
    <row r="500" spans="1:245">
      <c r="A500" s="86">
        <v>470</v>
      </c>
      <c r="R500" s="63"/>
      <c r="S500" s="86"/>
      <c r="AF500" s="74"/>
      <c r="AS500" s="145"/>
      <c r="AU500" s="86"/>
      <c r="AV500" s="45"/>
      <c r="AY500" s="162"/>
      <c r="BF500" s="45"/>
      <c r="BG500" s="246"/>
      <c r="BI500" s="138"/>
      <c r="BJ500" s="54"/>
      <c r="BK500" s="74"/>
      <c r="BL500" s="86"/>
      <c r="CA500" s="102"/>
      <c r="CC500" s="86"/>
      <c r="CE500" s="102"/>
      <c r="CJ500" s="86"/>
      <c r="CP500" s="63"/>
      <c r="CQ500" s="54"/>
      <c r="CX500" s="86"/>
      <c r="DM500" s="342"/>
      <c r="DO500" s="63"/>
      <c r="DP500" s="86"/>
      <c r="ED500" s="54"/>
      <c r="EF500" s="63"/>
      <c r="EG500" s="86"/>
      <c r="EP500" s="63"/>
      <c r="EQ500" s="54"/>
      <c r="ER500" s="86"/>
      <c r="FF500" s="54"/>
      <c r="FG500" s="86"/>
      <c r="FO500" s="45"/>
      <c r="FT500" s="86"/>
      <c r="FW500" s="63"/>
      <c r="FX500" s="54"/>
      <c r="GB500" s="86"/>
      <c r="GK500" s="45"/>
      <c r="GL500" s="54"/>
      <c r="GS500" s="86"/>
      <c r="HC500" s="63"/>
      <c r="HJ500" s="86"/>
      <c r="HT500" s="63"/>
      <c r="HZ500" s="54"/>
      <c r="IA500" s="86"/>
      <c r="IJ500" s="54"/>
      <c r="IK500" s="86"/>
    </row>
    <row r="501" spans="1:245">
      <c r="A501" s="86">
        <v>471</v>
      </c>
      <c r="R501" s="63"/>
      <c r="S501" s="86"/>
      <c r="AF501" s="74"/>
      <c r="AS501" s="145"/>
      <c r="AU501" s="86"/>
      <c r="AV501" s="45"/>
      <c r="AY501" s="162"/>
      <c r="BF501" s="45"/>
      <c r="BG501" s="246"/>
      <c r="BI501" s="138"/>
      <c r="BJ501" s="54"/>
      <c r="BK501" s="74"/>
      <c r="BL501" s="86"/>
      <c r="CA501" s="102"/>
      <c r="CC501" s="86"/>
      <c r="CE501" s="102"/>
      <c r="CJ501" s="86"/>
      <c r="CP501" s="63"/>
      <c r="CQ501" s="54"/>
      <c r="CX501" s="86"/>
      <c r="DM501" s="342"/>
      <c r="DO501" s="63"/>
      <c r="DP501" s="86"/>
      <c r="ED501" s="54"/>
      <c r="EF501" s="63"/>
      <c r="EG501" s="86"/>
      <c r="EP501" s="63"/>
      <c r="EQ501" s="54"/>
      <c r="ER501" s="86"/>
      <c r="FF501" s="54"/>
      <c r="FG501" s="86"/>
      <c r="FO501" s="45"/>
      <c r="FT501" s="86"/>
      <c r="FW501" s="63"/>
      <c r="FX501" s="54"/>
      <c r="GB501" s="86"/>
      <c r="GK501" s="45"/>
      <c r="GL501" s="54"/>
      <c r="GS501" s="86"/>
      <c r="HC501" s="63"/>
      <c r="HJ501" s="86"/>
      <c r="HT501" s="63"/>
      <c r="HZ501" s="54"/>
      <c r="IA501" s="86"/>
      <c r="IJ501" s="54"/>
      <c r="IK501" s="86"/>
    </row>
    <row r="502" spans="1:245">
      <c r="A502" s="86">
        <v>472</v>
      </c>
      <c r="R502" s="63"/>
      <c r="S502" s="86"/>
      <c r="AF502" s="74"/>
      <c r="AS502" s="145"/>
      <c r="AU502" s="86"/>
      <c r="AV502" s="45"/>
      <c r="AY502" s="162"/>
      <c r="BF502" s="45"/>
      <c r="BG502" s="246"/>
      <c r="BI502" s="138"/>
      <c r="BJ502" s="54"/>
      <c r="BK502" s="74"/>
      <c r="BL502" s="86"/>
      <c r="CA502" s="102"/>
      <c r="CC502" s="86"/>
      <c r="CE502" s="102"/>
      <c r="CJ502" s="86"/>
      <c r="CP502" s="63"/>
      <c r="CQ502" s="54"/>
      <c r="CX502" s="86"/>
      <c r="DM502" s="342"/>
      <c r="DO502" s="63"/>
      <c r="DP502" s="86"/>
      <c r="ED502" s="54"/>
      <c r="EF502" s="63"/>
      <c r="EG502" s="86"/>
      <c r="EP502" s="63"/>
      <c r="EQ502" s="54"/>
      <c r="ER502" s="86"/>
      <c r="FF502" s="54"/>
      <c r="FG502" s="86"/>
      <c r="FO502" s="45"/>
      <c r="FT502" s="86"/>
      <c r="FW502" s="63"/>
      <c r="FX502" s="54"/>
      <c r="GB502" s="86"/>
      <c r="GK502" s="45"/>
      <c r="GL502" s="54"/>
      <c r="GS502" s="86"/>
      <c r="HC502" s="63"/>
      <c r="HJ502" s="86"/>
      <c r="HT502" s="63"/>
      <c r="HZ502" s="54"/>
      <c r="IA502" s="86"/>
      <c r="IJ502" s="54"/>
      <c r="IK502" s="86"/>
    </row>
    <row r="503" spans="1:245">
      <c r="A503" s="86">
        <v>473</v>
      </c>
      <c r="R503" s="63"/>
      <c r="S503" s="86"/>
      <c r="AF503" s="74"/>
      <c r="AS503" s="145"/>
      <c r="AU503" s="86"/>
      <c r="AV503" s="45"/>
      <c r="AY503" s="162"/>
      <c r="BF503" s="45"/>
      <c r="BG503" s="246"/>
      <c r="BI503" s="138"/>
      <c r="BJ503" s="54"/>
      <c r="BK503" s="74"/>
      <c r="BL503" s="86"/>
      <c r="CA503" s="102"/>
      <c r="CC503" s="86"/>
      <c r="CE503" s="102"/>
      <c r="CJ503" s="86"/>
      <c r="CP503" s="63"/>
      <c r="CQ503" s="54"/>
      <c r="CX503" s="86"/>
      <c r="DM503" s="342"/>
      <c r="DO503" s="63"/>
      <c r="DP503" s="86"/>
      <c r="ED503" s="54"/>
      <c r="EF503" s="63"/>
      <c r="EG503" s="86"/>
      <c r="EP503" s="63"/>
      <c r="EQ503" s="54"/>
      <c r="ER503" s="86"/>
      <c r="FF503" s="54"/>
      <c r="FG503" s="86"/>
      <c r="FO503" s="45"/>
      <c r="FT503" s="86"/>
      <c r="FW503" s="63"/>
      <c r="FX503" s="54"/>
      <c r="GB503" s="86"/>
      <c r="GK503" s="45"/>
      <c r="GL503" s="54"/>
      <c r="GS503" s="86"/>
      <c r="HC503" s="63"/>
      <c r="HJ503" s="86"/>
      <c r="HT503" s="63"/>
      <c r="HZ503" s="54"/>
      <c r="IA503" s="86"/>
      <c r="IJ503" s="54"/>
      <c r="IK503" s="86"/>
    </row>
    <row r="504" spans="1:245">
      <c r="A504" s="86">
        <v>474</v>
      </c>
      <c r="R504" s="63"/>
      <c r="S504" s="86"/>
      <c r="AF504" s="74"/>
      <c r="AS504" s="145"/>
      <c r="AU504" s="86"/>
      <c r="AV504" s="45"/>
      <c r="AY504" s="162"/>
      <c r="BF504" s="45"/>
      <c r="BG504" s="246"/>
      <c r="BI504" s="138"/>
      <c r="BJ504" s="54"/>
      <c r="BK504" s="74"/>
      <c r="BL504" s="86"/>
      <c r="CA504" s="102"/>
      <c r="CC504" s="86"/>
      <c r="CE504" s="102"/>
      <c r="CJ504" s="86"/>
      <c r="CP504" s="63"/>
      <c r="CQ504" s="54"/>
      <c r="CX504" s="86"/>
      <c r="DM504" s="342"/>
      <c r="DO504" s="63"/>
      <c r="DP504" s="86"/>
      <c r="ED504" s="54"/>
      <c r="EF504" s="63"/>
      <c r="EG504" s="86"/>
      <c r="EP504" s="63"/>
      <c r="EQ504" s="54"/>
      <c r="ER504" s="86"/>
      <c r="FF504" s="54"/>
      <c r="FG504" s="86"/>
      <c r="FO504" s="45"/>
      <c r="FT504" s="86"/>
      <c r="FW504" s="63"/>
      <c r="FX504" s="54"/>
      <c r="GB504" s="86"/>
      <c r="GK504" s="45"/>
      <c r="GL504" s="54"/>
      <c r="GS504" s="86"/>
      <c r="HC504" s="63"/>
      <c r="HJ504" s="86"/>
      <c r="HT504" s="63"/>
      <c r="HZ504" s="54"/>
      <c r="IA504" s="86"/>
      <c r="IJ504" s="54"/>
      <c r="IK504" s="86"/>
    </row>
    <row r="505" spans="1:245">
      <c r="A505" s="86">
        <v>475</v>
      </c>
      <c r="R505" s="63"/>
      <c r="S505" s="86"/>
      <c r="AF505" s="74"/>
      <c r="AS505" s="145"/>
      <c r="AU505" s="86"/>
      <c r="AV505" s="45"/>
      <c r="AY505" s="162"/>
      <c r="BF505" s="45"/>
      <c r="BG505" s="246"/>
      <c r="BI505" s="138"/>
      <c r="BJ505" s="54"/>
      <c r="BK505" s="74"/>
      <c r="BL505" s="86"/>
      <c r="CA505" s="102"/>
      <c r="CC505" s="86"/>
      <c r="CE505" s="102"/>
      <c r="CJ505" s="86"/>
      <c r="CP505" s="63"/>
      <c r="CQ505" s="54"/>
      <c r="CX505" s="86"/>
      <c r="DM505" s="342"/>
      <c r="DO505" s="63"/>
      <c r="DP505" s="86"/>
      <c r="ED505" s="54"/>
      <c r="EF505" s="63"/>
      <c r="EG505" s="86"/>
      <c r="EP505" s="63"/>
      <c r="EQ505" s="54"/>
      <c r="ER505" s="86"/>
      <c r="FF505" s="54"/>
      <c r="FG505" s="86"/>
      <c r="FO505" s="45"/>
      <c r="FT505" s="86"/>
      <c r="FW505" s="63"/>
      <c r="FX505" s="54"/>
      <c r="GB505" s="86"/>
      <c r="GK505" s="45"/>
      <c r="GL505" s="54"/>
      <c r="GS505" s="86"/>
      <c r="HC505" s="63"/>
      <c r="HJ505" s="86"/>
      <c r="HT505" s="63"/>
      <c r="HZ505" s="54"/>
      <c r="IA505" s="86"/>
      <c r="IJ505" s="54"/>
      <c r="IK505" s="86"/>
    </row>
    <row r="506" spans="1:245">
      <c r="A506" s="86">
        <v>476</v>
      </c>
      <c r="R506" s="63"/>
      <c r="S506" s="86"/>
      <c r="AF506" s="74"/>
      <c r="AS506" s="145"/>
      <c r="AU506" s="86"/>
      <c r="AV506" s="45"/>
      <c r="AY506" s="162"/>
      <c r="BF506" s="45"/>
      <c r="BG506" s="246"/>
      <c r="BI506" s="138"/>
      <c r="BJ506" s="54"/>
      <c r="BK506" s="74"/>
      <c r="BL506" s="86"/>
      <c r="CA506" s="102"/>
      <c r="CC506" s="86"/>
      <c r="CE506" s="102"/>
      <c r="CJ506" s="86"/>
      <c r="CP506" s="63"/>
      <c r="CQ506" s="54"/>
      <c r="CX506" s="86"/>
      <c r="DM506" s="342"/>
      <c r="DO506" s="63"/>
      <c r="DP506" s="86"/>
      <c r="ED506" s="54"/>
      <c r="EF506" s="63"/>
      <c r="EG506" s="86"/>
      <c r="EP506" s="63"/>
      <c r="EQ506" s="54"/>
      <c r="ER506" s="86"/>
      <c r="FF506" s="54"/>
      <c r="FG506" s="86"/>
      <c r="FO506" s="45"/>
      <c r="FT506" s="86"/>
      <c r="FW506" s="63"/>
      <c r="FX506" s="54"/>
      <c r="GB506" s="86"/>
      <c r="GK506" s="45"/>
      <c r="GL506" s="54"/>
      <c r="GS506" s="86"/>
      <c r="HC506" s="63"/>
      <c r="HJ506" s="86"/>
      <c r="HT506" s="63"/>
      <c r="HZ506" s="54"/>
      <c r="IA506" s="86"/>
      <c r="IJ506" s="54"/>
      <c r="IK506" s="86"/>
    </row>
    <row r="507" spans="1:245">
      <c r="R507" s="63"/>
      <c r="S507" s="86"/>
      <c r="AF507" s="74"/>
      <c r="AS507" s="145"/>
      <c r="AU507" s="86"/>
      <c r="AV507" s="45"/>
      <c r="AY507" s="162"/>
      <c r="BF507" s="45"/>
      <c r="BG507" s="246"/>
      <c r="BI507" s="138"/>
      <c r="BJ507" s="54"/>
      <c r="BK507" s="74"/>
      <c r="BL507" s="86"/>
      <c r="CA507" s="102"/>
      <c r="CC507" s="86"/>
      <c r="CE507" s="102"/>
      <c r="CJ507" s="86"/>
      <c r="CP507" s="63"/>
      <c r="CQ507" s="54"/>
      <c r="CX507" s="86"/>
      <c r="DM507" s="342"/>
      <c r="DO507" s="63"/>
      <c r="DP507" s="86"/>
      <c r="ED507" s="54"/>
      <c r="EF507" s="63"/>
      <c r="EG507" s="86"/>
      <c r="EP507" s="63"/>
      <c r="EQ507" s="54"/>
      <c r="ER507" s="86"/>
      <c r="FF507" s="54"/>
      <c r="FG507" s="86"/>
      <c r="FO507" s="45"/>
      <c r="FT507" s="86"/>
      <c r="FW507" s="63"/>
      <c r="FX507" s="54"/>
      <c r="GB507" s="86"/>
      <c r="GK507" s="45"/>
      <c r="GL507" s="54"/>
      <c r="GS507" s="86"/>
      <c r="HC507" s="63"/>
      <c r="HJ507" s="86"/>
      <c r="HT507" s="63"/>
      <c r="HZ507" s="54"/>
      <c r="IA507" s="86"/>
      <c r="IJ507" s="54"/>
      <c r="IK507" s="86"/>
    </row>
    <row r="508" spans="1:245">
      <c r="R508" s="63"/>
      <c r="S508" s="86"/>
      <c r="AF508" s="74"/>
      <c r="AS508" s="145"/>
      <c r="AU508" s="86"/>
      <c r="AV508" s="45"/>
      <c r="AY508" s="162"/>
      <c r="BF508" s="45"/>
      <c r="BG508" s="246"/>
      <c r="BI508" s="138"/>
      <c r="BJ508" s="54"/>
      <c r="BK508" s="74"/>
      <c r="BL508" s="86"/>
      <c r="CA508" s="102"/>
      <c r="CC508" s="86"/>
      <c r="CE508" s="102"/>
      <c r="CJ508" s="86"/>
      <c r="CP508" s="63"/>
      <c r="CQ508" s="54"/>
      <c r="CX508" s="86"/>
      <c r="DM508" s="342"/>
      <c r="DO508" s="63"/>
      <c r="DP508" s="86"/>
      <c r="ED508" s="54"/>
      <c r="EF508" s="63"/>
      <c r="EG508" s="86"/>
      <c r="EP508" s="63"/>
      <c r="EQ508" s="54"/>
      <c r="ER508" s="86"/>
      <c r="FF508" s="54"/>
      <c r="FG508" s="86"/>
      <c r="FO508" s="45"/>
      <c r="FT508" s="86"/>
      <c r="FW508" s="63"/>
      <c r="FX508" s="54"/>
      <c r="GB508" s="86"/>
      <c r="GK508" s="45"/>
      <c r="GL508" s="54"/>
      <c r="GS508" s="86"/>
      <c r="HC508" s="63"/>
      <c r="HJ508" s="86"/>
      <c r="HT508" s="63"/>
      <c r="HZ508" s="54"/>
      <c r="IA508" s="86"/>
      <c r="IJ508" s="54"/>
      <c r="IK508" s="86"/>
    </row>
    <row r="509" spans="1:245">
      <c r="R509" s="63"/>
      <c r="S509" s="86"/>
      <c r="AF509" s="74"/>
      <c r="AS509" s="145"/>
      <c r="AU509" s="86"/>
      <c r="AV509" s="45"/>
      <c r="AY509" s="162"/>
      <c r="BF509" s="45"/>
      <c r="BG509" s="246"/>
      <c r="BI509" s="138"/>
      <c r="BJ509" s="54"/>
      <c r="BK509" s="74"/>
      <c r="BL509" s="86"/>
      <c r="CA509" s="102"/>
      <c r="CC509" s="86"/>
      <c r="CE509" s="102"/>
      <c r="CJ509" s="86"/>
      <c r="CP509" s="63"/>
      <c r="CQ509" s="54"/>
      <c r="CX509" s="86"/>
      <c r="DM509" s="342"/>
      <c r="DO509" s="63"/>
      <c r="DP509" s="86"/>
      <c r="ED509" s="54"/>
      <c r="EF509" s="63"/>
      <c r="EG509" s="86"/>
      <c r="EP509" s="63"/>
      <c r="EQ509" s="54"/>
      <c r="ER509" s="86"/>
      <c r="FF509" s="54"/>
      <c r="FG509" s="86"/>
      <c r="FO509" s="45"/>
      <c r="FT509" s="86"/>
      <c r="FW509" s="63"/>
      <c r="FX509" s="54"/>
      <c r="GB509" s="86"/>
      <c r="GK509" s="45"/>
      <c r="GL509" s="54"/>
      <c r="GS509" s="86"/>
      <c r="HC509" s="63"/>
      <c r="HJ509" s="86"/>
      <c r="HT509" s="63"/>
      <c r="HZ509" s="54"/>
      <c r="IA509" s="86"/>
      <c r="IJ509" s="54"/>
      <c r="IK509" s="86"/>
    </row>
    <row r="510" spans="1:245">
      <c r="R510" s="63"/>
      <c r="S510" s="86"/>
      <c r="AF510" s="74"/>
      <c r="AS510" s="145"/>
      <c r="AU510" s="86"/>
      <c r="AV510" s="45"/>
      <c r="AY510" s="162"/>
      <c r="BF510" s="45"/>
      <c r="BG510" s="246"/>
      <c r="BI510" s="138"/>
      <c r="BJ510" s="54"/>
      <c r="BK510" s="74"/>
      <c r="BL510" s="86"/>
      <c r="CA510" s="102"/>
      <c r="CC510" s="86"/>
      <c r="CE510" s="102"/>
      <c r="CJ510" s="86"/>
      <c r="CP510" s="63"/>
      <c r="CQ510" s="54"/>
      <c r="CX510" s="86"/>
      <c r="DM510" s="342"/>
      <c r="DO510" s="63"/>
      <c r="DP510" s="86"/>
      <c r="ED510" s="54"/>
      <c r="EF510" s="63"/>
      <c r="EG510" s="86"/>
      <c r="EP510" s="63"/>
      <c r="EQ510" s="54"/>
      <c r="ER510" s="86"/>
      <c r="FF510" s="54"/>
      <c r="FG510" s="86"/>
      <c r="FO510" s="45"/>
      <c r="FT510" s="86"/>
      <c r="FW510" s="63"/>
      <c r="FX510" s="54"/>
      <c r="GB510" s="86"/>
      <c r="GK510" s="45"/>
      <c r="GL510" s="54"/>
      <c r="GS510" s="86"/>
      <c r="HC510" s="63"/>
      <c r="HJ510" s="86"/>
      <c r="HT510" s="63"/>
      <c r="HZ510" s="54"/>
      <c r="IA510" s="86"/>
      <c r="IJ510" s="54"/>
      <c r="IK510" s="86"/>
    </row>
    <row r="511" spans="1:245">
      <c r="R511" s="63"/>
      <c r="S511" s="86"/>
      <c r="AF511" s="74"/>
      <c r="AS511" s="145"/>
      <c r="AU511" s="86"/>
      <c r="AV511" s="45"/>
      <c r="AY511" s="162"/>
      <c r="BF511" s="45"/>
      <c r="BG511" s="246"/>
      <c r="BI511" s="138"/>
      <c r="BJ511" s="54"/>
      <c r="BK511" s="74"/>
      <c r="BL511" s="86"/>
      <c r="CA511" s="102"/>
      <c r="CC511" s="86"/>
      <c r="CE511" s="102"/>
      <c r="CJ511" s="86"/>
      <c r="CP511" s="63"/>
      <c r="CQ511" s="54"/>
      <c r="CX511" s="86"/>
      <c r="DM511" s="342"/>
      <c r="DO511" s="63"/>
      <c r="DP511" s="86"/>
      <c r="ED511" s="54"/>
      <c r="EF511" s="63"/>
      <c r="EG511" s="86"/>
      <c r="EP511" s="63"/>
      <c r="EQ511" s="54"/>
      <c r="ER511" s="86"/>
      <c r="FF511" s="54"/>
      <c r="FG511" s="86"/>
      <c r="FO511" s="45"/>
      <c r="FT511" s="86"/>
      <c r="FW511" s="63"/>
      <c r="FX511" s="54"/>
      <c r="GB511" s="86"/>
      <c r="GK511" s="45"/>
      <c r="GL511" s="54"/>
      <c r="GS511" s="86"/>
      <c r="HC511" s="63"/>
      <c r="HJ511" s="86"/>
      <c r="HT511" s="63"/>
      <c r="HZ511" s="54"/>
      <c r="IA511" s="86"/>
      <c r="IJ511" s="54"/>
      <c r="IK511" s="86"/>
    </row>
    <row r="512" spans="1:245">
      <c r="R512" s="63"/>
      <c r="S512" s="86"/>
      <c r="AF512" s="74"/>
      <c r="AS512" s="145"/>
      <c r="AU512" s="86"/>
      <c r="AV512" s="45"/>
      <c r="AY512" s="162"/>
      <c r="BF512" s="45"/>
      <c r="BG512" s="246"/>
      <c r="BI512" s="138"/>
      <c r="BJ512" s="54"/>
      <c r="BK512" s="74"/>
      <c r="BL512" s="86"/>
      <c r="CA512" s="102"/>
      <c r="CC512" s="86"/>
      <c r="CE512" s="102"/>
      <c r="CJ512" s="86"/>
      <c r="CP512" s="63"/>
      <c r="CQ512" s="54"/>
      <c r="CX512" s="86"/>
      <c r="DM512" s="342"/>
      <c r="DO512" s="63"/>
      <c r="DP512" s="86"/>
      <c r="ED512" s="54"/>
      <c r="EF512" s="63"/>
      <c r="EG512" s="86"/>
      <c r="EP512" s="63"/>
      <c r="EQ512" s="54"/>
      <c r="ER512" s="86"/>
      <c r="FF512" s="54"/>
      <c r="FG512" s="86"/>
      <c r="FO512" s="45"/>
      <c r="FT512" s="86"/>
      <c r="FW512" s="63"/>
      <c r="FX512" s="54"/>
      <c r="GB512" s="86"/>
      <c r="GK512" s="45"/>
      <c r="GL512" s="54"/>
      <c r="GS512" s="86"/>
      <c r="HC512" s="63"/>
      <c r="HJ512" s="86"/>
      <c r="HT512" s="63"/>
      <c r="HZ512" s="54"/>
      <c r="IA512" s="86"/>
      <c r="IJ512" s="54"/>
      <c r="IK512" s="86"/>
    </row>
  </sheetData>
  <mergeCells count="13">
    <mergeCell ref="JC28:JE28"/>
    <mergeCell ref="HW28:HY28"/>
    <mergeCell ref="EK28:EM28"/>
    <mergeCell ref="FA28:FC28"/>
    <mergeCell ref="FQ28:FS28"/>
    <mergeCell ref="GO28:GQ28"/>
    <mergeCell ref="HF28:HH28"/>
    <mergeCell ref="IM28:IO28"/>
    <mergeCell ref="BQ29:BR29"/>
    <mergeCell ref="BV5:BW5"/>
    <mergeCell ref="BS5:BU5"/>
    <mergeCell ref="DC28:DE28"/>
    <mergeCell ref="DT28:DV28"/>
  </mergeCells>
  <pageMargins left="0.25" right="0.25" top="0.75" bottom="0.75" header="0.3" footer="0.3"/>
  <pageSetup paperSize="8" scale="32" fitToWidth="7" orientation="landscape"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O107"/>
  <sheetViews>
    <sheetView workbookViewId="0">
      <selection activeCell="M7" sqref="M7"/>
    </sheetView>
    <sheetView workbookViewId="1"/>
  </sheetViews>
  <sheetFormatPr defaultRowHeight="15.75"/>
  <cols>
    <col min="4" max="4" width="10.75" customWidth="1"/>
    <col min="5" max="5" width="12.5" customWidth="1"/>
  </cols>
  <sheetData>
    <row r="1" spans="2:15" s="430" customFormat="1"/>
    <row r="2" spans="2:15">
      <c r="K2" s="8" t="s">
        <v>539</v>
      </c>
    </row>
    <row r="3" spans="2:15">
      <c r="L3" s="8" t="s">
        <v>108</v>
      </c>
      <c r="M3" s="8"/>
      <c r="N3" s="8" t="s">
        <v>405</v>
      </c>
    </row>
    <row r="4" spans="2:15">
      <c r="K4" s="8" t="s">
        <v>22</v>
      </c>
      <c r="L4">
        <f>VLOOKUP('Admin Settings'!$F$90,$B$59:$F$107,4)</f>
        <v>7470.054233722647</v>
      </c>
      <c r="M4" s="54">
        <f>VLOOKUP('Admin Settings'!$F$90,$B$59:$F$107,5)</f>
        <v>1.5499999999999988E-2</v>
      </c>
      <c r="N4" s="430">
        <f>VLOOKUP('Admin Settings'!$F$90,$B$8:$F$57,4)</f>
        <v>8833.3127501759154</v>
      </c>
      <c r="O4" s="54">
        <f>VLOOKUP('Admin Settings'!$F$90,$B$8:$F$57,5)</f>
        <v>3.9999999999999994E-2</v>
      </c>
    </row>
    <row r="5" spans="2:15">
      <c r="K5" s="8" t="s">
        <v>23</v>
      </c>
      <c r="L5" s="430">
        <f>VLOOKUP('Admin Settings'!$F$90,$B$59:$F$107,4)</f>
        <v>7470.054233722647</v>
      </c>
      <c r="M5" s="54">
        <f>VLOOKUP('Admin Settings'!$F$90,$B$59:$F$107,5)</f>
        <v>1.5499999999999988E-2</v>
      </c>
      <c r="N5" s="430">
        <f>VLOOKUP('Admin Settings'!$F$90,$B$8:$F$57,4)</f>
        <v>8833.3127501759154</v>
      </c>
      <c r="O5" s="54">
        <f>VLOOKUP('Admin Settings'!$F$90,$B$8:$F$57,5)</f>
        <v>3.9999999999999994E-2</v>
      </c>
    </row>
    <row r="6" spans="2:15" ht="18">
      <c r="B6" s="345" t="s">
        <v>66</v>
      </c>
      <c r="C6" s="344"/>
      <c r="D6" s="344"/>
      <c r="E6" s="344"/>
      <c r="F6" s="344"/>
    </row>
    <row r="7" spans="2:15" ht="51.75">
      <c r="B7" s="347" t="s">
        <v>66</v>
      </c>
      <c r="C7" s="348" t="s">
        <v>189</v>
      </c>
      <c r="D7" s="348" t="s">
        <v>92</v>
      </c>
      <c r="E7" s="346" t="s">
        <v>415</v>
      </c>
      <c r="F7" s="348" t="s">
        <v>416</v>
      </c>
    </row>
    <row r="8" spans="2:15">
      <c r="B8" s="351">
        <v>1</v>
      </c>
      <c r="C8" s="352">
        <v>0</v>
      </c>
      <c r="D8" s="349" t="s">
        <v>414</v>
      </c>
      <c r="E8" s="350">
        <v>101423.93912269964</v>
      </c>
      <c r="F8" s="353">
        <v>2.6499999999999999E-2</v>
      </c>
    </row>
    <row r="9" spans="2:15">
      <c r="B9" s="351">
        <v>2</v>
      </c>
      <c r="C9" s="352">
        <v>0</v>
      </c>
      <c r="D9" s="349" t="s">
        <v>414</v>
      </c>
      <c r="E9" s="350">
        <v>51400.963954393636</v>
      </c>
      <c r="F9" s="353">
        <v>2.7E-2</v>
      </c>
    </row>
    <row r="10" spans="2:15">
      <c r="B10" s="351">
        <v>3</v>
      </c>
      <c r="C10" s="352">
        <v>0</v>
      </c>
      <c r="D10" s="349" t="s">
        <v>414</v>
      </c>
      <c r="E10" s="350">
        <v>34798.874613071042</v>
      </c>
      <c r="F10" s="353">
        <v>2.8499999999999998E-2</v>
      </c>
    </row>
    <row r="11" spans="2:15">
      <c r="B11" s="351">
        <v>4</v>
      </c>
      <c r="C11" s="352">
        <v>0</v>
      </c>
      <c r="D11" s="349" t="s">
        <v>414</v>
      </c>
      <c r="E11" s="350">
        <v>26539.730779674202</v>
      </c>
      <c r="F11" s="353">
        <v>0.03</v>
      </c>
    </row>
    <row r="12" spans="2:15">
      <c r="B12" s="351">
        <v>5</v>
      </c>
      <c r="C12" s="352">
        <v>0</v>
      </c>
      <c r="D12" s="349" t="s">
        <v>414</v>
      </c>
      <c r="E12" s="350">
        <v>21618.689368809879</v>
      </c>
      <c r="F12" s="353">
        <v>3.15E-2</v>
      </c>
    </row>
    <row r="13" spans="2:15">
      <c r="B13" s="351">
        <v>6</v>
      </c>
      <c r="C13" s="352">
        <v>0</v>
      </c>
      <c r="D13" s="349" t="s">
        <v>414</v>
      </c>
      <c r="E13" s="350">
        <v>18393.717416145111</v>
      </c>
      <c r="F13" s="353">
        <v>3.3499999999999988E-2</v>
      </c>
    </row>
    <row r="14" spans="2:15">
      <c r="B14" s="351">
        <v>7</v>
      </c>
      <c r="C14" s="352">
        <v>0</v>
      </c>
      <c r="D14" s="349" t="s">
        <v>414</v>
      </c>
      <c r="E14" s="350">
        <v>16071.373866939386</v>
      </c>
      <c r="F14" s="353">
        <v>3.4499999999999989E-2</v>
      </c>
    </row>
    <row r="15" spans="2:15">
      <c r="B15" s="351">
        <v>8</v>
      </c>
      <c r="C15" s="352">
        <v>0</v>
      </c>
      <c r="D15" s="349" t="s">
        <v>414</v>
      </c>
      <c r="E15" s="350">
        <v>14319.38462509248</v>
      </c>
      <c r="F15" s="353">
        <v>3.4999999999999989E-2</v>
      </c>
    </row>
    <row r="16" spans="2:15">
      <c r="B16" s="351">
        <v>9</v>
      </c>
      <c r="C16" s="352">
        <v>0</v>
      </c>
      <c r="D16" s="349" t="s">
        <v>414</v>
      </c>
      <c r="E16" s="350">
        <v>12992.25927570694</v>
      </c>
      <c r="F16" s="353">
        <v>3.599999999999999E-2</v>
      </c>
    </row>
    <row r="17" spans="2:6">
      <c r="B17" s="351">
        <v>10</v>
      </c>
      <c r="C17" s="352">
        <v>0</v>
      </c>
      <c r="D17" s="349" t="s">
        <v>414</v>
      </c>
      <c r="E17" s="350">
        <v>11917.14593915634</v>
      </c>
      <c r="F17" s="353">
        <v>3.6499999999999991E-2</v>
      </c>
    </row>
    <row r="18" spans="2:6">
      <c r="B18" s="351">
        <v>11</v>
      </c>
      <c r="C18" s="352">
        <v>0</v>
      </c>
      <c r="D18" s="349" t="s">
        <v>414</v>
      </c>
      <c r="E18" s="350">
        <v>11072.478041809169</v>
      </c>
      <c r="F18" s="353">
        <v>3.7499999999999992E-2</v>
      </c>
    </row>
    <row r="19" spans="2:6">
      <c r="B19" s="351">
        <v>12</v>
      </c>
      <c r="C19" s="352">
        <v>0</v>
      </c>
      <c r="D19" s="349" t="s">
        <v>414</v>
      </c>
      <c r="E19" s="350">
        <v>10380.759379725321</v>
      </c>
      <c r="F19" s="353">
        <v>3.8499999999999993E-2</v>
      </c>
    </row>
    <row r="20" spans="2:6">
      <c r="B20" s="351">
        <v>13</v>
      </c>
      <c r="C20" s="352">
        <v>0</v>
      </c>
      <c r="D20" s="349" t="s">
        <v>414</v>
      </c>
      <c r="E20" s="350">
        <v>9778.7441514729398</v>
      </c>
      <c r="F20" s="353">
        <v>3.8999999999999993E-2</v>
      </c>
    </row>
    <row r="21" spans="2:6">
      <c r="B21" s="351">
        <v>14</v>
      </c>
      <c r="C21" s="352">
        <v>0</v>
      </c>
      <c r="D21" s="349" t="s">
        <v>414</v>
      </c>
      <c r="E21" s="350">
        <v>9269.0401349398035</v>
      </c>
      <c r="F21" s="353">
        <v>3.9499999999999993E-2</v>
      </c>
    </row>
    <row r="22" spans="2:6">
      <c r="B22" s="351">
        <v>15</v>
      </c>
      <c r="C22" s="352">
        <v>0</v>
      </c>
      <c r="D22" s="349" t="s">
        <v>414</v>
      </c>
      <c r="E22" s="350">
        <v>8833.3127501759154</v>
      </c>
      <c r="F22" s="353">
        <v>3.9999999999999994E-2</v>
      </c>
    </row>
    <row r="23" spans="2:6">
      <c r="B23" s="351">
        <v>16</v>
      </c>
      <c r="C23" s="352">
        <v>0</v>
      </c>
      <c r="D23" s="349" t="s">
        <v>414</v>
      </c>
      <c r="E23" s="350">
        <v>8457.8116378238556</v>
      </c>
      <c r="F23" s="353">
        <v>4.0499999999999994E-2</v>
      </c>
    </row>
    <row r="24" spans="2:6">
      <c r="B24" s="351">
        <v>17</v>
      </c>
      <c r="C24" s="352">
        <v>0</v>
      </c>
      <c r="D24" s="349" t="s">
        <v>414</v>
      </c>
      <c r="E24" s="350">
        <v>8132.0221393481261</v>
      </c>
      <c r="F24" s="353">
        <v>4.0999999999999995E-2</v>
      </c>
    </row>
    <row r="25" spans="2:6">
      <c r="B25" s="351">
        <v>18</v>
      </c>
      <c r="C25" s="352">
        <v>0</v>
      </c>
      <c r="D25" s="349" t="s">
        <v>414</v>
      </c>
      <c r="E25" s="350">
        <v>7847.7662741763625</v>
      </c>
      <c r="F25" s="353">
        <v>4.1499999999999995E-2</v>
      </c>
    </row>
    <row r="26" spans="2:6">
      <c r="B26" s="351">
        <v>19</v>
      </c>
      <c r="C26" s="352">
        <v>0</v>
      </c>
      <c r="D26" s="349" t="s">
        <v>414</v>
      </c>
      <c r="E26" s="350">
        <v>7598.5876100968362</v>
      </c>
      <c r="F26" s="353">
        <v>4.1999999999999996E-2</v>
      </c>
    </row>
    <row r="27" spans="2:6">
      <c r="B27" s="351">
        <v>20</v>
      </c>
      <c r="C27" s="352">
        <v>0</v>
      </c>
      <c r="D27" s="349" t="s">
        <v>414</v>
      </c>
      <c r="E27" s="350">
        <v>7379.3206648126152</v>
      </c>
      <c r="F27" s="353">
        <v>4.2499999999999996E-2</v>
      </c>
    </row>
    <row r="28" spans="2:6">
      <c r="B28" s="351">
        <v>21</v>
      </c>
      <c r="C28" s="352">
        <v>0</v>
      </c>
      <c r="D28" s="349" t="s">
        <v>414</v>
      </c>
      <c r="E28" s="350">
        <v>7154.761792898651</v>
      </c>
      <c r="F28" s="353">
        <v>4.2499999999999996E-2</v>
      </c>
    </row>
    <row r="29" spans="2:6">
      <c r="B29" s="351">
        <v>22</v>
      </c>
      <c r="C29" s="352">
        <v>0</v>
      </c>
      <c r="D29" s="349" t="s">
        <v>414</v>
      </c>
      <c r="E29" s="350">
        <v>6983.1627028470239</v>
      </c>
      <c r="F29" s="353">
        <v>4.2999999999999997E-2</v>
      </c>
    </row>
    <row r="30" spans="2:6">
      <c r="B30" s="351">
        <v>23</v>
      </c>
      <c r="C30" s="352">
        <v>0</v>
      </c>
      <c r="D30" s="349" t="s">
        <v>414</v>
      </c>
      <c r="E30" s="350">
        <v>6799.3429517818422</v>
      </c>
      <c r="F30" s="353">
        <v>4.2999999999999997E-2</v>
      </c>
    </row>
    <row r="31" spans="2:6">
      <c r="B31" s="351">
        <v>24</v>
      </c>
      <c r="C31" s="352">
        <v>0</v>
      </c>
      <c r="D31" s="349" t="s">
        <v>414</v>
      </c>
      <c r="E31" s="350">
        <v>6663.9653733073947</v>
      </c>
      <c r="F31" s="353">
        <v>4.3499999999999997E-2</v>
      </c>
    </row>
    <row r="32" spans="2:6">
      <c r="B32" s="351">
        <v>25</v>
      </c>
      <c r="C32" s="352">
        <v>0</v>
      </c>
      <c r="D32" s="349" t="s">
        <v>414</v>
      </c>
      <c r="E32" s="350">
        <v>6511.3491614373206</v>
      </c>
      <c r="F32" s="353">
        <v>4.3499999999999997E-2</v>
      </c>
    </row>
    <row r="33" spans="2:6">
      <c r="B33" s="351">
        <v>26</v>
      </c>
      <c r="C33" s="352">
        <v>0</v>
      </c>
      <c r="D33" s="349" t="s">
        <v>414</v>
      </c>
      <c r="E33" s="350">
        <v>6371.5134524058485</v>
      </c>
      <c r="F33" s="353">
        <v>4.3499999999999997E-2</v>
      </c>
    </row>
    <row r="34" spans="2:6">
      <c r="B34" s="351">
        <v>27</v>
      </c>
      <c r="C34" s="352">
        <v>0</v>
      </c>
      <c r="D34" s="349" t="s">
        <v>414</v>
      </c>
      <c r="E34" s="350">
        <v>6276.0030114495694</v>
      </c>
      <c r="F34" s="353">
        <v>4.3999999999999997E-2</v>
      </c>
    </row>
    <row r="35" spans="2:6">
      <c r="B35" s="351">
        <v>28</v>
      </c>
      <c r="C35" s="352">
        <v>0</v>
      </c>
      <c r="D35" s="349" t="s">
        <v>414</v>
      </c>
      <c r="E35" s="350">
        <v>6157.9412918405123</v>
      </c>
      <c r="F35" s="353">
        <v>4.3999999999999997E-2</v>
      </c>
    </row>
    <row r="36" spans="2:6">
      <c r="B36" s="351">
        <v>29</v>
      </c>
      <c r="C36" s="352">
        <v>0</v>
      </c>
      <c r="D36" s="349" t="s">
        <v>414</v>
      </c>
      <c r="E36" s="350">
        <v>6048.9466331967906</v>
      </c>
      <c r="F36" s="353">
        <v>4.3999999999999997E-2</v>
      </c>
    </row>
    <row r="37" spans="2:6">
      <c r="B37" s="351">
        <v>30</v>
      </c>
      <c r="C37" s="352">
        <v>0</v>
      </c>
      <c r="D37" s="349" t="s">
        <v>414</v>
      </c>
      <c r="E37" s="350">
        <v>5982.0401156532471</v>
      </c>
      <c r="F37" s="353">
        <v>4.4499999999999998E-2</v>
      </c>
    </row>
    <row r="38" spans="2:6">
      <c r="B38" s="351">
        <v>31</v>
      </c>
      <c r="C38" s="352">
        <v>0</v>
      </c>
      <c r="D38" s="349" t="s">
        <v>414</v>
      </c>
      <c r="E38" s="350">
        <v>5888.8397287476091</v>
      </c>
      <c r="F38" s="353">
        <v>4.4499999999999998E-2</v>
      </c>
    </row>
    <row r="39" spans="2:6">
      <c r="B39" s="351">
        <v>32</v>
      </c>
      <c r="C39" s="352">
        <v>0</v>
      </c>
      <c r="D39" s="349" t="s">
        <v>414</v>
      </c>
      <c r="E39" s="350">
        <v>5802.2912429627386</v>
      </c>
      <c r="F39" s="353">
        <v>4.4499999999999998E-2</v>
      </c>
    </row>
    <row r="40" spans="2:6">
      <c r="B40" s="351">
        <v>33</v>
      </c>
      <c r="C40" s="352">
        <v>0</v>
      </c>
      <c r="D40" s="349" t="s">
        <v>414</v>
      </c>
      <c r="E40" s="350">
        <v>5721.7807460671438</v>
      </c>
      <c r="F40" s="353">
        <v>4.4499999999999998E-2</v>
      </c>
    </row>
    <row r="41" spans="2:6">
      <c r="B41" s="351">
        <v>34</v>
      </c>
      <c r="C41" s="352">
        <v>0</v>
      </c>
      <c r="D41" s="349" t="s">
        <v>414</v>
      </c>
      <c r="E41" s="350">
        <v>5646.7663944261003</v>
      </c>
      <c r="F41" s="353">
        <v>4.4499999999999998E-2</v>
      </c>
    </row>
    <row r="42" spans="2:6">
      <c r="B42" s="351">
        <v>35</v>
      </c>
      <c r="C42" s="352">
        <v>0</v>
      </c>
      <c r="D42" s="349" t="s">
        <v>414</v>
      </c>
      <c r="E42" s="350">
        <v>5576.7681268999777</v>
      </c>
      <c r="F42" s="353">
        <v>4.4499999999999998E-2</v>
      </c>
    </row>
    <row r="43" spans="2:6">
      <c r="B43" s="351">
        <v>36</v>
      </c>
      <c r="C43" s="352">
        <v>0</v>
      </c>
      <c r="D43" s="349" t="s">
        <v>414</v>
      </c>
      <c r="E43" s="350">
        <v>5511.3590930971823</v>
      </c>
      <c r="F43" s="353">
        <v>4.4499999999999998E-2</v>
      </c>
    </row>
    <row r="44" spans="2:6">
      <c r="B44" s="351">
        <v>37</v>
      </c>
      <c r="C44" s="352">
        <v>0</v>
      </c>
      <c r="D44" s="349" t="s">
        <v>414</v>
      </c>
      <c r="E44" s="350">
        <v>5450.1584716278203</v>
      </c>
      <c r="F44" s="353">
        <v>4.4499999999999998E-2</v>
      </c>
    </row>
    <row r="45" spans="2:6">
      <c r="B45" s="351">
        <v>38</v>
      </c>
      <c r="C45" s="352">
        <v>0</v>
      </c>
      <c r="D45" s="349" t="s">
        <v>414</v>
      </c>
      <c r="E45" s="350">
        <v>5429.0842330101004</v>
      </c>
      <c r="F45" s="353">
        <v>4.4999999999999998E-2</v>
      </c>
    </row>
    <row r="46" spans="2:6">
      <c r="B46" s="351">
        <v>39</v>
      </c>
      <c r="C46" s="352">
        <v>0</v>
      </c>
      <c r="D46" s="349" t="s">
        <v>414</v>
      </c>
      <c r="E46" s="350">
        <v>5375.5769639583332</v>
      </c>
      <c r="F46" s="353">
        <v>4.4999999999999998E-2</v>
      </c>
    </row>
    <row r="47" spans="2:6">
      <c r="B47" s="351">
        <v>40</v>
      </c>
      <c r="C47" s="352">
        <v>0</v>
      </c>
      <c r="D47" s="349" t="s">
        <v>414</v>
      </c>
      <c r="E47" s="350">
        <v>5325.3521602729397</v>
      </c>
      <c r="F47" s="353">
        <v>4.4999999999999998E-2</v>
      </c>
    </row>
    <row r="48" spans="2:6">
      <c r="B48" s="351">
        <v>41</v>
      </c>
      <c r="C48" s="352">
        <v>0</v>
      </c>
      <c r="D48" s="349" t="s">
        <v>414</v>
      </c>
      <c r="E48" s="350">
        <v>5278.1611237103953</v>
      </c>
      <c r="F48" s="353">
        <v>4.4999999999999998E-2</v>
      </c>
    </row>
    <row r="49" spans="2:6">
      <c r="B49" s="351">
        <v>42</v>
      </c>
      <c r="C49" s="352">
        <v>0</v>
      </c>
      <c r="D49" s="349" t="s">
        <v>414</v>
      </c>
      <c r="E49" s="350">
        <v>5233.7787776189125</v>
      </c>
      <c r="F49" s="353">
        <v>4.4999999999999998E-2</v>
      </c>
    </row>
    <row r="50" spans="2:6">
      <c r="B50" s="351">
        <v>43</v>
      </c>
      <c r="C50" s="352">
        <v>0</v>
      </c>
      <c r="D50" s="349" t="s">
        <v>414</v>
      </c>
      <c r="E50" s="350">
        <v>5192.0009279232127</v>
      </c>
      <c r="F50" s="353">
        <v>4.4999999999999998E-2</v>
      </c>
    </row>
    <row r="51" spans="2:6">
      <c r="B51" s="351">
        <v>44</v>
      </c>
      <c r="C51" s="352">
        <v>0</v>
      </c>
      <c r="D51" s="349" t="s">
        <v>414</v>
      </c>
      <c r="E51" s="350">
        <v>5152.6418975042261</v>
      </c>
      <c r="F51" s="353">
        <v>4.4999999999999998E-2</v>
      </c>
    </row>
    <row r="52" spans="2:6">
      <c r="B52" s="351">
        <v>45</v>
      </c>
      <c r="C52" s="352">
        <v>0</v>
      </c>
      <c r="D52" s="349" t="s">
        <v>414</v>
      </c>
      <c r="E52" s="350">
        <v>5115.5324758796442</v>
      </c>
      <c r="F52" s="353">
        <v>4.4999999999999998E-2</v>
      </c>
    </row>
    <row r="53" spans="2:6">
      <c r="B53" s="351">
        <v>46</v>
      </c>
      <c r="C53" s="352">
        <v>0</v>
      </c>
      <c r="D53" s="349" t="s">
        <v>414</v>
      </c>
      <c r="E53" s="350">
        <v>5080.5181361950745</v>
      </c>
      <c r="F53" s="353">
        <v>4.4999999999999998E-2</v>
      </c>
    </row>
    <row r="54" spans="2:6">
      <c r="B54" s="351">
        <v>47</v>
      </c>
      <c r="C54" s="352">
        <v>0</v>
      </c>
      <c r="D54" s="349" t="s">
        <v>414</v>
      </c>
      <c r="E54" s="350">
        <v>5047.4574797047717</v>
      </c>
      <c r="F54" s="353">
        <v>4.4999999999999998E-2</v>
      </c>
    </row>
    <row r="55" spans="2:6">
      <c r="B55" s="351">
        <v>48</v>
      </c>
      <c r="C55" s="352">
        <v>0</v>
      </c>
      <c r="D55" s="349" t="s">
        <v>414</v>
      </c>
      <c r="E55" s="350">
        <v>5016.220874558252</v>
      </c>
      <c r="F55" s="353">
        <v>4.4999999999999998E-2</v>
      </c>
    </row>
    <row r="56" spans="2:6">
      <c r="B56" s="351">
        <v>49</v>
      </c>
      <c r="C56" s="352">
        <v>0</v>
      </c>
      <c r="D56" s="349" t="s">
        <v>414</v>
      </c>
      <c r="E56" s="350">
        <v>4986.6892611275025</v>
      </c>
      <c r="F56" s="353">
        <v>4.4999999999999998E-2</v>
      </c>
    </row>
    <row r="57" spans="2:6">
      <c r="B57" s="351">
        <v>50</v>
      </c>
      <c r="C57" s="352">
        <v>0</v>
      </c>
      <c r="D57" s="349" t="s">
        <v>414</v>
      </c>
      <c r="E57" s="350">
        <v>4958.7531005524443</v>
      </c>
      <c r="F57" s="353">
        <v>4.4999999999999998E-2</v>
      </c>
    </row>
    <row r="58" spans="2:6">
      <c r="B58" s="351">
        <v>1</v>
      </c>
      <c r="C58" s="352">
        <v>0</v>
      </c>
      <c r="D58" s="349" t="s">
        <v>108</v>
      </c>
      <c r="E58" s="350" t="s">
        <v>448</v>
      </c>
      <c r="F58" s="353" t="s">
        <v>448</v>
      </c>
    </row>
    <row r="59" spans="2:6">
      <c r="B59" s="351">
        <v>2</v>
      </c>
      <c r="C59" s="352">
        <v>0</v>
      </c>
      <c r="D59" s="349" t="s">
        <v>108</v>
      </c>
      <c r="E59" s="350">
        <v>50909.239452439811</v>
      </c>
      <c r="F59" s="353">
        <v>1.7499999999999988E-2</v>
      </c>
    </row>
    <row r="60" spans="2:6">
      <c r="B60" s="351">
        <v>3</v>
      </c>
      <c r="C60" s="352">
        <v>0</v>
      </c>
      <c r="D60" s="349" t="s">
        <v>108</v>
      </c>
      <c r="E60" s="350">
        <v>34104.458170918217</v>
      </c>
      <c r="F60" s="353">
        <v>1.4999999999999996E-2</v>
      </c>
    </row>
    <row r="61" spans="2:6">
      <c r="B61" s="351">
        <v>4</v>
      </c>
      <c r="C61" s="352">
        <v>0</v>
      </c>
      <c r="D61" s="349" t="s">
        <v>108</v>
      </c>
      <c r="E61" s="350">
        <v>25716.482317804279</v>
      </c>
      <c r="F61" s="353">
        <v>1.3999999999999999E-2</v>
      </c>
    </row>
    <row r="62" spans="2:6">
      <c r="B62" s="351">
        <v>5</v>
      </c>
      <c r="C62" s="352">
        <v>0</v>
      </c>
      <c r="D62" s="349" t="s">
        <v>108</v>
      </c>
      <c r="E62" s="350">
        <v>20715.196133542169</v>
      </c>
      <c r="F62" s="353">
        <v>1.3999999999999993E-2</v>
      </c>
    </row>
    <row r="63" spans="2:6">
      <c r="B63" s="351">
        <v>6</v>
      </c>
      <c r="C63" s="352">
        <v>0</v>
      </c>
      <c r="D63" s="349" t="s">
        <v>108</v>
      </c>
      <c r="E63" s="350">
        <v>17381.542312739184</v>
      </c>
      <c r="F63" s="353">
        <v>1.4E-2</v>
      </c>
    </row>
    <row r="64" spans="2:6">
      <c r="B64" s="351">
        <v>7</v>
      </c>
      <c r="C64" s="352">
        <v>0</v>
      </c>
      <c r="D64" s="349" t="s">
        <v>108</v>
      </c>
      <c r="E64" s="350">
        <v>15000.821173217722</v>
      </c>
      <c r="F64" s="353">
        <v>1.3999999999999997E-2</v>
      </c>
    </row>
    <row r="65" spans="2:6">
      <c r="B65" s="351">
        <v>8</v>
      </c>
      <c r="C65" s="352">
        <v>0</v>
      </c>
      <c r="D65" s="349" t="s">
        <v>108</v>
      </c>
      <c r="E65" s="350">
        <v>13215.682858351774</v>
      </c>
      <c r="F65" s="353">
        <v>1.3999999999999993E-2</v>
      </c>
    </row>
    <row r="66" spans="2:6">
      <c r="B66" s="351">
        <v>9</v>
      </c>
      <c r="C66" s="352">
        <v>0</v>
      </c>
      <c r="D66" s="349" t="s">
        <v>108</v>
      </c>
      <c r="E66" s="350">
        <v>11827.599656217335</v>
      </c>
      <c r="F66" s="353">
        <v>1.3999999999999997E-2</v>
      </c>
    </row>
    <row r="67" spans="2:6">
      <c r="B67" s="351">
        <v>10</v>
      </c>
      <c r="C67" s="352">
        <v>0</v>
      </c>
      <c r="D67" s="349" t="s">
        <v>108</v>
      </c>
      <c r="E67" s="350">
        <v>10743.501134110915</v>
      </c>
      <c r="F67" s="353">
        <v>1.4499999999999997E-2</v>
      </c>
    </row>
    <row r="68" spans="2:6">
      <c r="B68" s="351">
        <v>11</v>
      </c>
      <c r="C68" s="352">
        <v>0</v>
      </c>
      <c r="D68" s="349" t="s">
        <v>108</v>
      </c>
      <c r="E68" s="350">
        <v>9835.5907822877998</v>
      </c>
      <c r="F68" s="353">
        <v>1.4499999999999987E-2</v>
      </c>
    </row>
    <row r="69" spans="2:6">
      <c r="B69" s="351">
        <v>12</v>
      </c>
      <c r="C69" s="352">
        <v>0</v>
      </c>
      <c r="D69" s="349" t="s">
        <v>108</v>
      </c>
      <c r="E69" s="350">
        <v>9105.5668029794651</v>
      </c>
      <c r="F69" s="353">
        <v>1.4999999999999987E-2</v>
      </c>
    </row>
    <row r="70" spans="2:6">
      <c r="B70" s="351">
        <v>13</v>
      </c>
      <c r="C70" s="352">
        <v>0</v>
      </c>
      <c r="D70" s="349" t="s">
        <v>108</v>
      </c>
      <c r="E70" s="350">
        <v>8465.9885360911085</v>
      </c>
      <c r="F70" s="353">
        <v>1.4999999999999987E-2</v>
      </c>
    </row>
    <row r="71" spans="2:6">
      <c r="B71" s="351">
        <v>14</v>
      </c>
      <c r="C71" s="352">
        <v>0</v>
      </c>
      <c r="D71" s="349" t="s">
        <v>108</v>
      </c>
      <c r="E71" s="350">
        <v>7944.5821696244002</v>
      </c>
      <c r="F71" s="353">
        <v>1.5499999999999988E-2</v>
      </c>
    </row>
    <row r="72" spans="2:6">
      <c r="B72" s="351">
        <v>15</v>
      </c>
      <c r="C72" s="352">
        <v>0</v>
      </c>
      <c r="D72" s="349" t="s">
        <v>108</v>
      </c>
      <c r="E72" s="350">
        <v>7470.054233722647</v>
      </c>
      <c r="F72" s="353">
        <v>1.5499999999999988E-2</v>
      </c>
    </row>
    <row r="73" spans="2:6">
      <c r="B73" s="351">
        <v>16</v>
      </c>
      <c r="C73" s="352">
        <v>0</v>
      </c>
      <c r="D73" s="349" t="s">
        <v>108</v>
      </c>
      <c r="E73" s="350">
        <v>7081.9093603477068</v>
      </c>
      <c r="F73" s="353">
        <v>1.5999999999999993E-2</v>
      </c>
    </row>
    <row r="74" spans="2:6">
      <c r="B74" s="351">
        <v>17</v>
      </c>
      <c r="C74" s="352">
        <v>0</v>
      </c>
      <c r="D74" s="349" t="s">
        <v>108</v>
      </c>
      <c r="E74" s="350">
        <v>6716.112930127385</v>
      </c>
      <c r="F74" s="353">
        <v>1.5999999999999993E-2</v>
      </c>
    </row>
    <row r="75" spans="2:6">
      <c r="B75" s="351">
        <v>18</v>
      </c>
      <c r="C75" s="352">
        <v>0</v>
      </c>
      <c r="D75" s="349" t="s">
        <v>108</v>
      </c>
      <c r="E75" s="350">
        <v>6391.1923077909505</v>
      </c>
      <c r="F75" s="353">
        <v>1.599999999999999E-2</v>
      </c>
    </row>
    <row r="76" spans="2:6">
      <c r="B76" s="351">
        <v>19</v>
      </c>
      <c r="C76" s="352">
        <v>0</v>
      </c>
      <c r="D76" s="349" t="s">
        <v>108</v>
      </c>
      <c r="E76" s="350">
        <v>6127.9406488323912</v>
      </c>
      <c r="F76" s="353">
        <v>1.649999999999999E-2</v>
      </c>
    </row>
    <row r="77" spans="2:6">
      <c r="B77" s="351">
        <v>20</v>
      </c>
      <c r="C77" s="352">
        <v>0</v>
      </c>
      <c r="D77" s="349" t="s">
        <v>108</v>
      </c>
      <c r="E77" s="350">
        <v>5866.8252947263045</v>
      </c>
      <c r="F77" s="353">
        <v>1.6499999999999994E-2</v>
      </c>
    </row>
    <row r="78" spans="2:6">
      <c r="B78" s="351">
        <v>21</v>
      </c>
      <c r="C78" s="352">
        <v>0</v>
      </c>
      <c r="D78" s="349" t="s">
        <v>108</v>
      </c>
      <c r="E78" s="350">
        <v>5630.7885088115354</v>
      </c>
      <c r="F78" s="353">
        <v>1.6499999999999994E-2</v>
      </c>
    </row>
    <row r="79" spans="2:6">
      <c r="B79" s="351">
        <v>22</v>
      </c>
      <c r="C79" s="352">
        <v>0</v>
      </c>
      <c r="D79" s="349" t="s">
        <v>108</v>
      </c>
      <c r="E79" s="350">
        <v>5416.4102663537487</v>
      </c>
      <c r="F79" s="353">
        <v>1.6499999999999994E-2</v>
      </c>
    </row>
    <row r="80" spans="2:6">
      <c r="B80" s="351">
        <v>23</v>
      </c>
      <c r="C80" s="352">
        <v>0</v>
      </c>
      <c r="D80" s="349" t="s">
        <v>108</v>
      </c>
      <c r="E80" s="350">
        <v>5220.8653195592924</v>
      </c>
      <c r="F80" s="353">
        <v>1.6499999999999994E-2</v>
      </c>
    </row>
    <row r="81" spans="2:6">
      <c r="B81" s="351">
        <v>24</v>
      </c>
      <c r="C81" s="352">
        <v>0</v>
      </c>
      <c r="D81" s="349" t="s">
        <v>108</v>
      </c>
      <c r="E81" s="350">
        <v>5041.7992857523868</v>
      </c>
      <c r="F81" s="353">
        <v>1.6499999999999994E-2</v>
      </c>
    </row>
    <row r="82" spans="2:6">
      <c r="B82" s="351">
        <v>25</v>
      </c>
      <c r="C82" s="352">
        <v>0</v>
      </c>
      <c r="D82" s="349" t="s">
        <v>108</v>
      </c>
      <c r="E82" s="350">
        <v>4877.2344743914555</v>
      </c>
      <c r="F82" s="353">
        <v>1.6499999999999994E-2</v>
      </c>
    </row>
    <row r="83" spans="2:6">
      <c r="B83" s="351">
        <v>26</v>
      </c>
      <c r="C83" s="352">
        <v>0</v>
      </c>
      <c r="D83" s="349" t="s">
        <v>108</v>
      </c>
      <c r="E83" s="350">
        <v>4725.4974463140579</v>
      </c>
      <c r="F83" s="353">
        <v>1.6499999999999994E-2</v>
      </c>
    </row>
    <row r="84" spans="2:6">
      <c r="B84" s="351">
        <v>27</v>
      </c>
      <c r="C84" s="352">
        <v>0</v>
      </c>
      <c r="D84" s="349" t="s">
        <v>108</v>
      </c>
      <c r="E84" s="350">
        <v>4585.1626709288939</v>
      </c>
      <c r="F84" s="353">
        <v>1.6499999999999994E-2</v>
      </c>
    </row>
    <row r="85" spans="2:6">
      <c r="B85" s="351">
        <v>28</v>
      </c>
      <c r="C85" s="352">
        <v>0</v>
      </c>
      <c r="D85" s="349" t="s">
        <v>108</v>
      </c>
      <c r="E85" s="350">
        <v>4455.008256868121</v>
      </c>
      <c r="F85" s="353">
        <v>1.6499999999999994E-2</v>
      </c>
    </row>
    <row r="86" spans="2:6">
      <c r="B86" s="351">
        <v>29</v>
      </c>
      <c r="C86" s="352">
        <v>0</v>
      </c>
      <c r="D86" s="349" t="s">
        <v>108</v>
      </c>
      <c r="E86" s="350">
        <v>4333.9808418164494</v>
      </c>
      <c r="F86" s="353">
        <v>1.6499999999999994E-2</v>
      </c>
    </row>
    <row r="87" spans="2:6">
      <c r="B87" s="351">
        <v>30</v>
      </c>
      <c r="C87" s="352">
        <v>0</v>
      </c>
      <c r="D87" s="349" t="s">
        <v>108</v>
      </c>
      <c r="E87" s="350">
        <v>4221.1675043757241</v>
      </c>
      <c r="F87" s="353">
        <v>1.6499999999999994E-2</v>
      </c>
    </row>
    <row r="88" spans="2:6">
      <c r="B88" s="351">
        <v>31</v>
      </c>
      <c r="C88" s="352">
        <v>0</v>
      </c>
      <c r="D88" s="349" t="s">
        <v>108</v>
      </c>
      <c r="E88" s="350">
        <v>4115.7731123440908</v>
      </c>
      <c r="F88" s="353">
        <v>1.649999999999999E-2</v>
      </c>
    </row>
    <row r="89" spans="2:6">
      <c r="B89" s="351">
        <v>32</v>
      </c>
      <c r="C89" s="352">
        <v>0</v>
      </c>
      <c r="D89" s="349" t="s">
        <v>108</v>
      </c>
      <c r="E89" s="350">
        <v>4017.101918194036</v>
      </c>
      <c r="F89" s="353">
        <v>1.649999999999999E-2</v>
      </c>
    </row>
    <row r="90" spans="2:6">
      <c r="B90" s="351">
        <v>33</v>
      </c>
      <c r="C90" s="352">
        <v>0</v>
      </c>
      <c r="D90" s="349" t="s">
        <v>108</v>
      </c>
      <c r="E90" s="350">
        <v>3924.5425008283037</v>
      </c>
      <c r="F90" s="353">
        <v>1.649999999999999E-2</v>
      </c>
    </row>
    <row r="91" spans="2:6">
      <c r="B91" s="351">
        <v>34</v>
      </c>
      <c r="C91" s="352">
        <v>0</v>
      </c>
      <c r="D91" s="349" t="s">
        <v>108</v>
      </c>
      <c r="E91" s="350">
        <v>3837.55536467412</v>
      </c>
      <c r="F91" s="353">
        <v>1.649999999999999E-2</v>
      </c>
    </row>
    <row r="92" spans="2:6">
      <c r="B92" s="351">
        <v>35</v>
      </c>
      <c r="C92" s="352">
        <v>0</v>
      </c>
      <c r="D92" s="349" t="s">
        <v>108</v>
      </c>
      <c r="E92" s="350">
        <v>3755.6626646480522</v>
      </c>
      <c r="F92" s="353">
        <v>1.649999999999999E-2</v>
      </c>
    </row>
    <row r="93" spans="2:6">
      <c r="B93" s="351">
        <v>36</v>
      </c>
      <c r="C93" s="352">
        <v>0</v>
      </c>
      <c r="D93" s="349" t="s">
        <v>108</v>
      </c>
      <c r="E93" s="350">
        <v>3678.4396436277452</v>
      </c>
      <c r="F93" s="353">
        <v>1.649999999999999E-2</v>
      </c>
    </row>
    <row r="94" spans="2:6">
      <c r="B94" s="351">
        <v>37</v>
      </c>
      <c r="C94" s="352">
        <v>0</v>
      </c>
      <c r="D94" s="349" t="s">
        <v>108</v>
      </c>
      <c r="E94" s="350">
        <v>3605.5074584427416</v>
      </c>
      <c r="F94" s="353">
        <v>1.649999999999999E-2</v>
      </c>
    </row>
    <row r="95" spans="2:6">
      <c r="B95" s="351">
        <v>38</v>
      </c>
      <c r="C95" s="352">
        <v>0</v>
      </c>
      <c r="D95" s="349" t="s">
        <v>108</v>
      </c>
      <c r="E95" s="350">
        <v>3536.5271386045379</v>
      </c>
      <c r="F95" s="353">
        <v>1.649999999999999E-2</v>
      </c>
    </row>
    <row r="96" spans="2:6">
      <c r="B96" s="351">
        <v>39</v>
      </c>
      <c r="C96" s="352">
        <v>0</v>
      </c>
      <c r="D96" s="349" t="s">
        <v>108</v>
      </c>
      <c r="E96" s="350">
        <v>3471.194474463694</v>
      </c>
      <c r="F96" s="353">
        <v>1.649999999999999E-2</v>
      </c>
    </row>
    <row r="97" spans="2:6">
      <c r="B97" s="351">
        <v>40</v>
      </c>
      <c r="C97" s="352">
        <v>0</v>
      </c>
      <c r="D97" s="349" t="s">
        <v>108</v>
      </c>
      <c r="E97" s="350">
        <v>3409.2356721442347</v>
      </c>
      <c r="F97" s="353">
        <v>1.649999999999999E-2</v>
      </c>
    </row>
    <row r="98" spans="2:6">
      <c r="B98" s="351">
        <v>41</v>
      </c>
      <c r="C98" s="352">
        <v>0</v>
      </c>
      <c r="D98" s="349" t="s">
        <v>108</v>
      </c>
      <c r="E98" s="350">
        <v>3350.4036443421692</v>
      </c>
      <c r="F98" s="353">
        <v>1.649999999999999E-2</v>
      </c>
    </row>
    <row r="99" spans="2:6">
      <c r="B99" s="351">
        <v>42</v>
      </c>
      <c r="C99" s="352">
        <v>0</v>
      </c>
      <c r="D99" s="349" t="s">
        <v>108</v>
      </c>
      <c r="E99" s="350">
        <v>3294.4748310107088</v>
      </c>
      <c r="F99" s="353">
        <v>1.649999999999999E-2</v>
      </c>
    </row>
    <row r="100" spans="2:6">
      <c r="B100" s="351">
        <v>43</v>
      </c>
      <c r="C100" s="352">
        <v>0</v>
      </c>
      <c r="D100" s="349" t="s">
        <v>108</v>
      </c>
      <c r="E100" s="350">
        <v>3241.2464636715986</v>
      </c>
      <c r="F100" s="353">
        <v>1.649999999999999E-2</v>
      </c>
    </row>
    <row r="101" spans="2:6">
      <c r="B101" s="351">
        <v>44</v>
      </c>
      <c r="C101" s="352">
        <v>0</v>
      </c>
      <c r="D101" s="349" t="s">
        <v>108</v>
      </c>
      <c r="E101" s="350">
        <v>3190.5342027756237</v>
      </c>
      <c r="F101" s="353">
        <v>1.649999999999999E-2</v>
      </c>
    </row>
    <row r="102" spans="2:6">
      <c r="B102" s="351">
        <v>45</v>
      </c>
      <c r="C102" s="352">
        <v>0</v>
      </c>
      <c r="D102" s="349" t="s">
        <v>108</v>
      </c>
      <c r="E102" s="350">
        <v>3142.1700900824362</v>
      </c>
      <c r="F102" s="353">
        <v>1.649999999999999E-2</v>
      </c>
    </row>
    <row r="103" spans="2:6">
      <c r="B103" s="351">
        <v>46</v>
      </c>
      <c r="C103" s="352">
        <v>0</v>
      </c>
      <c r="D103" s="349" t="s">
        <v>108</v>
      </c>
      <c r="E103" s="350">
        <v>3096.0007681219531</v>
      </c>
      <c r="F103" s="353">
        <v>1.649999999999999E-2</v>
      </c>
    </row>
    <row r="104" spans="2:6">
      <c r="B104" s="351">
        <v>47</v>
      </c>
      <c r="C104" s="352">
        <v>0</v>
      </c>
      <c r="D104" s="349" t="s">
        <v>108</v>
      </c>
      <c r="E104" s="350">
        <v>3051.8859269591967</v>
      </c>
      <c r="F104" s="353">
        <v>1.649999999999999E-2</v>
      </c>
    </row>
    <row r="105" spans="2:6">
      <c r="B105" s="351">
        <v>48</v>
      </c>
      <c r="C105" s="352">
        <v>0</v>
      </c>
      <c r="D105" s="349" t="s">
        <v>108</v>
      </c>
      <c r="E105" s="350">
        <v>3009.6969451141763</v>
      </c>
      <c r="F105" s="353">
        <v>1.649999999999999E-2</v>
      </c>
    </row>
    <row r="106" spans="2:6">
      <c r="B106" s="351">
        <v>49</v>
      </c>
      <c r="C106" s="352">
        <v>0</v>
      </c>
      <c r="D106" s="349" t="s">
        <v>108</v>
      </c>
      <c r="E106" s="350">
        <v>2969.3156969003226</v>
      </c>
      <c r="F106" s="353">
        <v>1.649999999999999E-2</v>
      </c>
    </row>
    <row r="107" spans="2:6">
      <c r="B107" s="351">
        <v>50</v>
      </c>
      <c r="C107" s="352">
        <v>0</v>
      </c>
      <c r="D107" s="349" t="s">
        <v>108</v>
      </c>
      <c r="E107" s="350">
        <v>2930.6335028829053</v>
      </c>
      <c r="F107" s="353">
        <v>1.649999999999999E-2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59999389629810485"/>
  </sheetPr>
  <dimension ref="A1:AA180"/>
  <sheetViews>
    <sheetView topLeftCell="I1" workbookViewId="0">
      <selection activeCell="M37" sqref="M37"/>
    </sheetView>
    <sheetView workbookViewId="1"/>
  </sheetViews>
  <sheetFormatPr defaultColWidth="8.875" defaultRowHeight="15" customHeight="1"/>
  <cols>
    <col min="1" max="1" width="24.375" customWidth="1"/>
    <col min="2" max="3" width="15" customWidth="1"/>
    <col min="4" max="4" width="16.625" customWidth="1"/>
    <col min="5" max="5" width="14.25" customWidth="1"/>
    <col min="6" max="6" width="12.125" customWidth="1"/>
    <col min="7" max="7" width="22.125" bestFit="1" customWidth="1"/>
    <col min="8" max="8" width="22.125" style="4" customWidth="1"/>
    <col min="9" max="9" width="23.5" customWidth="1"/>
    <col min="10" max="10" width="22.375" customWidth="1"/>
    <col min="11" max="11" width="17.75" customWidth="1"/>
    <col min="12" max="12" width="11.125" customWidth="1"/>
  </cols>
  <sheetData>
    <row r="1" spans="1:27" ht="15" customHeight="1">
      <c r="A1" s="103" t="s">
        <v>35</v>
      </c>
      <c r="B1" s="103"/>
      <c r="C1" s="103"/>
      <c r="D1" s="103"/>
      <c r="E1" s="103"/>
      <c r="F1" s="103"/>
      <c r="G1" s="103"/>
      <c r="I1" s="103"/>
      <c r="J1" s="103" t="s">
        <v>95</v>
      </c>
      <c r="K1" s="103"/>
      <c r="L1" s="103"/>
      <c r="M1" s="103"/>
      <c r="N1" s="103"/>
      <c r="O1" s="103"/>
    </row>
    <row r="2" spans="1:27" ht="15" customHeight="1">
      <c r="A2" s="8" t="s">
        <v>35</v>
      </c>
      <c r="B2" s="2">
        <v>1</v>
      </c>
      <c r="C2" s="377" t="s">
        <v>462</v>
      </c>
      <c r="I2" s="4"/>
      <c r="J2" s="4"/>
      <c r="K2" s="4"/>
      <c r="L2" s="4"/>
      <c r="M2" s="14"/>
      <c r="N2" s="4"/>
      <c r="O2" s="4"/>
      <c r="S2" s="312"/>
      <c r="T2" s="313"/>
    </row>
    <row r="3" spans="1:27" s="4" customFormat="1" ht="15" customHeight="1">
      <c r="A3" s="14"/>
      <c r="B3" s="13"/>
      <c r="J3" s="55" t="s">
        <v>132</v>
      </c>
      <c r="K3" s="2" t="s">
        <v>17</v>
      </c>
      <c r="N3" s="382"/>
      <c r="O3" s="14"/>
      <c r="P3"/>
      <c r="Q3"/>
      <c r="R3"/>
      <c r="S3" s="312"/>
      <c r="T3" s="313"/>
      <c r="U3"/>
    </row>
    <row r="4" spans="1:27" ht="15" customHeight="1">
      <c r="A4" s="8" t="s">
        <v>112</v>
      </c>
      <c r="B4" s="2">
        <v>20</v>
      </c>
    </row>
    <row r="5" spans="1:27" ht="15" customHeight="1">
      <c r="G5" s="4"/>
      <c r="J5" s="6" t="s">
        <v>227</v>
      </c>
      <c r="K5" s="366" t="s">
        <v>1100</v>
      </c>
      <c r="L5" t="s">
        <v>228</v>
      </c>
    </row>
    <row r="6" spans="1:27" ht="15" customHeight="1">
      <c r="A6" s="8" t="s">
        <v>120</v>
      </c>
      <c r="B6" s="2">
        <v>1</v>
      </c>
      <c r="G6" s="4"/>
    </row>
    <row r="7" spans="1:27" ht="15" customHeight="1">
      <c r="G7" s="4"/>
      <c r="I7" s="103" t="s">
        <v>151</v>
      </c>
      <c r="J7" s="103"/>
      <c r="K7" s="103"/>
      <c r="L7" s="103"/>
      <c r="M7" s="103"/>
      <c r="N7" s="103"/>
      <c r="O7" s="103"/>
      <c r="S7" s="48" t="s">
        <v>280</v>
      </c>
      <c r="T7" s="6"/>
    </row>
    <row r="8" spans="1:27" ht="15" customHeight="1">
      <c r="A8" s="8" t="s">
        <v>121</v>
      </c>
      <c r="B8" s="2">
        <v>0</v>
      </c>
      <c r="S8" s="242"/>
      <c r="T8" s="28"/>
    </row>
    <row r="9" spans="1:27" ht="15" customHeight="1">
      <c r="J9" s="34" t="s">
        <v>152</v>
      </c>
      <c r="K9" s="76">
        <v>0.04</v>
      </c>
      <c r="S9" s="48" t="s">
        <v>281</v>
      </c>
      <c r="T9" s="316" t="s">
        <v>375</v>
      </c>
      <c r="U9" s="315"/>
      <c r="V9" s="315"/>
      <c r="W9" s="315"/>
      <c r="X9" s="315"/>
      <c r="Y9" s="315"/>
      <c r="Z9" s="315"/>
      <c r="AA9" s="315"/>
    </row>
    <row r="10" spans="1:27" ht="15" customHeight="1">
      <c r="A10" s="8" t="s">
        <v>125</v>
      </c>
      <c r="B10" s="76">
        <v>0.9</v>
      </c>
      <c r="C10" t="s">
        <v>126</v>
      </c>
      <c r="J10" s="6" t="s">
        <v>270</v>
      </c>
      <c r="K10" s="107">
        <v>15</v>
      </c>
      <c r="L10" s="87" t="s">
        <v>489</v>
      </c>
      <c r="T10" s="28" t="s">
        <v>282</v>
      </c>
    </row>
    <row r="11" spans="1:27" ht="15" customHeight="1">
      <c r="B11" s="76">
        <v>0.1</v>
      </c>
      <c r="C11" t="s">
        <v>127</v>
      </c>
      <c r="J11" s="6" t="s">
        <v>184</v>
      </c>
      <c r="K11" s="107">
        <v>15</v>
      </c>
      <c r="L11" s="87"/>
      <c r="T11" s="311" t="s">
        <v>375</v>
      </c>
    </row>
    <row r="12" spans="1:27" ht="15" customHeight="1">
      <c r="J12" s="6" t="s">
        <v>170</v>
      </c>
      <c r="K12" s="108">
        <v>0.02</v>
      </c>
    </row>
    <row r="13" spans="1:27" ht="15" customHeight="1">
      <c r="J13" s="6" t="s">
        <v>169</v>
      </c>
      <c r="K13" s="107">
        <v>15</v>
      </c>
      <c r="L13" s="87" t="s">
        <v>183</v>
      </c>
      <c r="S13" s="87"/>
    </row>
    <row r="14" spans="1:27" ht="15" customHeight="1">
      <c r="A14" s="103" t="s">
        <v>41</v>
      </c>
      <c r="B14" s="103"/>
      <c r="C14" s="103"/>
      <c r="D14" s="103"/>
      <c r="E14" s="103"/>
      <c r="F14" s="103"/>
      <c r="G14" s="103"/>
      <c r="J14" s="6" t="s">
        <v>204</v>
      </c>
      <c r="K14" s="274">
        <v>2.75E-2</v>
      </c>
      <c r="L14" s="87"/>
      <c r="S14" s="87"/>
    </row>
    <row r="15" spans="1:27" ht="15" customHeight="1">
      <c r="J15" s="6"/>
      <c r="K15" s="6"/>
      <c r="L15" s="87"/>
      <c r="S15" s="87" t="s">
        <v>379</v>
      </c>
    </row>
    <row r="16" spans="1:27" ht="15" customHeight="1">
      <c r="A16" s="22" t="s">
        <v>11</v>
      </c>
      <c r="B16" s="2">
        <v>1</v>
      </c>
      <c r="C16" s="48"/>
      <c r="J16" s="242" t="s">
        <v>301</v>
      </c>
      <c r="K16" s="107" t="b">
        <v>0</v>
      </c>
      <c r="L16" t="s">
        <v>323</v>
      </c>
      <c r="S16" s="87" t="s">
        <v>378</v>
      </c>
    </row>
    <row r="17" spans="1:27" ht="15" customHeight="1">
      <c r="A17" s="22" t="s">
        <v>14</v>
      </c>
      <c r="B17" s="21">
        <f>IF(ALTTable=1,2006,2011)</f>
        <v>2011</v>
      </c>
      <c r="C17" s="48" t="s">
        <v>113</v>
      </c>
      <c r="D17" s="2">
        <v>2</v>
      </c>
      <c r="E17" t="s">
        <v>114</v>
      </c>
      <c r="I17" s="233"/>
      <c r="J17" s="242" t="s">
        <v>302</v>
      </c>
      <c r="K17" s="107" t="b">
        <v>0</v>
      </c>
      <c r="S17" s="312" t="s">
        <v>376</v>
      </c>
      <c r="T17" s="314" t="s">
        <v>380</v>
      </c>
      <c r="U17" s="315"/>
      <c r="V17" s="315"/>
      <c r="W17" s="315"/>
      <c r="X17" s="315"/>
      <c r="Y17" s="315"/>
      <c r="Z17" s="315"/>
      <c r="AA17" s="315"/>
    </row>
    <row r="18" spans="1:27" ht="15" customHeight="1">
      <c r="S18" s="312" t="s">
        <v>377</v>
      </c>
      <c r="T18" s="317" t="s">
        <v>381</v>
      </c>
      <c r="U18" s="315"/>
      <c r="V18" s="315"/>
      <c r="W18" s="315"/>
      <c r="X18" s="315"/>
      <c r="Y18" s="315"/>
      <c r="Z18" s="315"/>
      <c r="AA18" s="315"/>
    </row>
    <row r="19" spans="1:27" ht="15" customHeight="1">
      <c r="B19" s="1559" t="s">
        <v>42</v>
      </c>
      <c r="C19" s="1559"/>
      <c r="D19" s="1559" t="s">
        <v>388</v>
      </c>
      <c r="E19" s="1559"/>
      <c r="F19" s="1559"/>
      <c r="G19" s="1559"/>
      <c r="J19" s="242" t="s">
        <v>395</v>
      </c>
      <c r="K19" s="107" t="b">
        <v>0</v>
      </c>
      <c r="L19" s="87"/>
      <c r="T19" s="28" t="s">
        <v>382</v>
      </c>
    </row>
    <row r="20" spans="1:27" ht="15" customHeight="1">
      <c r="A20" s="7"/>
      <c r="B20" s="73" t="s">
        <v>5</v>
      </c>
      <c r="C20" s="73" t="s">
        <v>4</v>
      </c>
      <c r="D20" s="1558" t="s">
        <v>43</v>
      </c>
      <c r="E20" s="1558"/>
      <c r="F20" s="69" t="s">
        <v>5</v>
      </c>
      <c r="G20" s="69" t="s">
        <v>4</v>
      </c>
      <c r="H20" s="69"/>
      <c r="I20" s="4"/>
      <c r="J20" s="4"/>
      <c r="K20" s="4"/>
      <c r="L20" s="87"/>
      <c r="U20" s="4"/>
    </row>
    <row r="21" spans="1:27" ht="15" customHeight="1">
      <c r="A21" s="19" t="s">
        <v>3</v>
      </c>
      <c r="B21" s="73" t="s">
        <v>12</v>
      </c>
      <c r="C21" s="73" t="s">
        <v>12</v>
      </c>
      <c r="D21" s="73" t="s">
        <v>13</v>
      </c>
      <c r="E21" s="73" t="s">
        <v>118</v>
      </c>
      <c r="F21" s="52" t="s">
        <v>12</v>
      </c>
      <c r="G21" s="52" t="s">
        <v>12</v>
      </c>
      <c r="H21" s="52"/>
      <c r="I21" s="15"/>
      <c r="J21" s="242" t="s">
        <v>430</v>
      </c>
      <c r="K21" s="366" t="str">
        <f>'Admin Settings'!F101</f>
        <v>Voluntary</v>
      </c>
      <c r="L21" s="87"/>
      <c r="U21" s="4"/>
    </row>
    <row r="22" spans="1:27" ht="15" customHeight="1">
      <c r="A22" s="20">
        <v>30</v>
      </c>
      <c r="B22" s="18">
        <v>9.5E-4</v>
      </c>
      <c r="C22" s="18">
        <v>3.8000000000000002E-4</v>
      </c>
      <c r="D22" s="18">
        <v>-1.7702</v>
      </c>
      <c r="E22" s="18">
        <v>-1.6979</v>
      </c>
      <c r="F22" s="18">
        <v>8.2600000000000002E-4</v>
      </c>
      <c r="G22" s="18">
        <v>3.4900000000000003E-4</v>
      </c>
      <c r="H22" s="269"/>
      <c r="I22" s="240"/>
      <c r="J22" s="240"/>
      <c r="K22" s="239"/>
      <c r="L22" s="87"/>
      <c r="U22" s="4"/>
    </row>
    <row r="23" spans="1:27" ht="15" customHeight="1">
      <c r="A23" s="20">
        <v>31</v>
      </c>
      <c r="B23" s="18">
        <v>9.7999999999999997E-4</v>
      </c>
      <c r="C23" s="18">
        <v>4.0999999999999999E-4</v>
      </c>
      <c r="D23" s="18">
        <v>-1.5823</v>
      </c>
      <c r="E23" s="18">
        <v>-1.5004999999999999</v>
      </c>
      <c r="F23" s="18">
        <v>8.6499999999999999E-4</v>
      </c>
      <c r="G23" s="18">
        <v>3.7599999999999998E-4</v>
      </c>
      <c r="H23" s="269"/>
      <c r="I23" s="240"/>
      <c r="J23" s="55" t="s">
        <v>459</v>
      </c>
      <c r="K23" s="274">
        <v>2.5000000000000001E-2</v>
      </c>
      <c r="L23" s="87"/>
      <c r="U23" s="4"/>
    </row>
    <row r="24" spans="1:27" s="4" customFormat="1" ht="15" customHeight="1">
      <c r="A24" s="20">
        <v>32</v>
      </c>
      <c r="B24" s="18">
        <v>1.01E-3</v>
      </c>
      <c r="C24" s="18">
        <v>4.2999999999999999E-4</v>
      </c>
      <c r="D24" s="18">
        <v>-1.3996</v>
      </c>
      <c r="E24" s="18">
        <v>-1.3325</v>
      </c>
      <c r="F24" s="18">
        <v>9.0499999999999999E-4</v>
      </c>
      <c r="G24" s="18">
        <v>4.0499999999999998E-4</v>
      </c>
      <c r="H24" s="269"/>
      <c r="L24" s="87"/>
      <c r="M24"/>
      <c r="N24"/>
      <c r="O24"/>
      <c r="P24"/>
      <c r="Q24"/>
      <c r="R24"/>
      <c r="S24"/>
      <c r="T24"/>
    </row>
    <row r="25" spans="1:27" s="4" customFormat="1" ht="15" customHeight="1">
      <c r="A25" s="20">
        <v>33</v>
      </c>
      <c r="B25" s="18">
        <v>1.0499999999999999E-3</v>
      </c>
      <c r="C25" s="18">
        <v>4.6000000000000001E-4</v>
      </c>
      <c r="D25" s="18">
        <v>-1.2549999999999999</v>
      </c>
      <c r="E25" s="18">
        <v>-1.2143999999999999</v>
      </c>
      <c r="F25" s="18">
        <v>9.4499999999999998E-4</v>
      </c>
      <c r="G25" s="18">
        <v>4.3800000000000002E-4</v>
      </c>
      <c r="H25" s="269"/>
      <c r="I25" s="50" t="s">
        <v>298</v>
      </c>
      <c r="J25" s="240"/>
      <c r="K25" s="239"/>
      <c r="L25" s="87"/>
      <c r="M25"/>
      <c r="N25"/>
      <c r="O25"/>
      <c r="P25"/>
      <c r="Q25"/>
      <c r="R25"/>
      <c r="S25"/>
      <c r="T25"/>
    </row>
    <row r="26" spans="1:27" s="4" customFormat="1" ht="15" customHeight="1">
      <c r="A26" s="20">
        <v>34</v>
      </c>
      <c r="B26" s="18">
        <v>1.08E-3</v>
      </c>
      <c r="C26" s="18">
        <v>4.8999999999999998E-4</v>
      </c>
      <c r="D26" s="18">
        <v>-1.1425000000000001</v>
      </c>
      <c r="E26" s="18">
        <v>-1.1487000000000001</v>
      </c>
      <c r="F26" s="18">
        <v>9.8700000000000003E-4</v>
      </c>
      <c r="G26" s="18">
        <v>4.7399999999999997E-4</v>
      </c>
      <c r="H26" s="269"/>
      <c r="L26" s="87"/>
      <c r="M26"/>
      <c r="N26"/>
      <c r="O26"/>
      <c r="P26"/>
      <c r="Q26"/>
      <c r="R26"/>
      <c r="S26"/>
      <c r="T26"/>
    </row>
    <row r="27" spans="1:27" s="4" customFormat="1" ht="15" customHeight="1">
      <c r="A27" s="20">
        <v>35</v>
      </c>
      <c r="B27" s="18">
        <v>1.1199999999999999E-3</v>
      </c>
      <c r="C27" s="18">
        <v>5.2999999999999998E-4</v>
      </c>
      <c r="D27" s="18">
        <v>-1.0872999999999999</v>
      </c>
      <c r="E27" s="18">
        <v>-1.1056999999999999</v>
      </c>
      <c r="F27" s="18">
        <v>1.031E-3</v>
      </c>
      <c r="G27" s="18">
        <v>5.13E-4</v>
      </c>
      <c r="H27" s="269"/>
      <c r="J27" s="16" t="s">
        <v>294</v>
      </c>
      <c r="K27" s="48" t="s">
        <v>295</v>
      </c>
      <c r="L27" s="87"/>
      <c r="M27"/>
      <c r="N27"/>
      <c r="O27"/>
      <c r="P27"/>
      <c r="Q27"/>
      <c r="R27"/>
      <c r="S27"/>
      <c r="T27"/>
    </row>
    <row r="28" spans="1:27" s="4" customFormat="1" ht="15" customHeight="1">
      <c r="A28" s="20">
        <v>36</v>
      </c>
      <c r="B28" s="18">
        <v>1.17E-3</v>
      </c>
      <c r="C28" s="18">
        <v>5.6999999999999998E-4</v>
      </c>
      <c r="D28" s="18">
        <v>-1.05</v>
      </c>
      <c r="E28" s="18">
        <v>-1.0874999999999999</v>
      </c>
      <c r="F28" s="18">
        <v>1.0790000000000001E-3</v>
      </c>
      <c r="G28" s="18">
        <v>5.5599999999999996E-4</v>
      </c>
      <c r="H28" s="269"/>
      <c r="I28" s="16" t="s">
        <v>296</v>
      </c>
      <c r="J28" s="91">
        <v>0.01</v>
      </c>
      <c r="K28" s="394">
        <v>0</v>
      </c>
      <c r="L28" s="87"/>
      <c r="M28"/>
      <c r="N28"/>
      <c r="O28"/>
      <c r="P28"/>
      <c r="Q28"/>
      <c r="R28"/>
      <c r="S28"/>
      <c r="T28"/>
    </row>
    <row r="29" spans="1:27" s="4" customFormat="1" ht="15" customHeight="1">
      <c r="A29" s="20">
        <v>37</v>
      </c>
      <c r="B29" s="18">
        <v>1.23E-3</v>
      </c>
      <c r="C29" s="18">
        <v>6.2E-4</v>
      </c>
      <c r="D29" s="18">
        <v>-1.0488</v>
      </c>
      <c r="E29" s="18">
        <v>-1.0918000000000001</v>
      </c>
      <c r="F29" s="18">
        <v>1.1329999999999999E-3</v>
      </c>
      <c r="G29" s="18">
        <v>6.0400000000000004E-4</v>
      </c>
      <c r="H29" s="269"/>
      <c r="I29" s="16" t="s">
        <v>297</v>
      </c>
      <c r="J29" s="91">
        <v>0.01</v>
      </c>
      <c r="K29" s="91">
        <v>0.01</v>
      </c>
      <c r="L29" s="87"/>
      <c r="M29"/>
      <c r="N29"/>
      <c r="O29"/>
      <c r="P29"/>
      <c r="Q29"/>
      <c r="R29"/>
      <c r="S29"/>
      <c r="T29"/>
    </row>
    <row r="30" spans="1:27" s="4" customFormat="1" ht="15" customHeight="1">
      <c r="A30" s="20">
        <v>38</v>
      </c>
      <c r="B30" s="18">
        <v>1.2899999999999999E-3</v>
      </c>
      <c r="C30" s="18">
        <v>6.7000000000000002E-4</v>
      </c>
      <c r="D30" s="18">
        <v>-1.0803</v>
      </c>
      <c r="E30" s="18">
        <v>-1.1160000000000001</v>
      </c>
      <c r="F30" s="18">
        <v>1.193E-3</v>
      </c>
      <c r="G30" s="18">
        <v>6.5700000000000003E-4</v>
      </c>
      <c r="H30" s="269"/>
      <c r="I30" s="16" t="s">
        <v>491</v>
      </c>
      <c r="J30" s="240"/>
      <c r="K30" s="91">
        <v>0</v>
      </c>
      <c r="L30" s="87"/>
      <c r="M30"/>
      <c r="N30"/>
      <c r="O30"/>
      <c r="P30"/>
      <c r="Q30"/>
      <c r="R30"/>
      <c r="S30"/>
      <c r="T30"/>
    </row>
    <row r="31" spans="1:27" s="4" customFormat="1" ht="15" customHeight="1">
      <c r="A31" s="20">
        <v>39</v>
      </c>
      <c r="B31" s="18">
        <v>1.3600000000000001E-3</v>
      </c>
      <c r="C31" s="18">
        <v>7.2999999999999996E-4</v>
      </c>
      <c r="D31" s="18">
        <v>-1.1315</v>
      </c>
      <c r="E31" s="18">
        <v>-1.1577</v>
      </c>
      <c r="F31" s="18">
        <v>1.261E-3</v>
      </c>
      <c r="G31" s="18">
        <v>7.1400000000000001E-4</v>
      </c>
      <c r="H31" s="269"/>
      <c r="I31" s="240"/>
      <c r="J31" s="240"/>
      <c r="K31" s="239"/>
      <c r="L31" s="87"/>
      <c r="M31"/>
      <c r="N31"/>
      <c r="O31"/>
      <c r="P31"/>
      <c r="Q31"/>
      <c r="R31"/>
      <c r="S31"/>
      <c r="T31"/>
    </row>
    <row r="32" spans="1:27" s="4" customFormat="1" ht="15" customHeight="1">
      <c r="A32" s="20">
        <v>40</v>
      </c>
      <c r="B32" s="18">
        <v>1.4499999999999999E-3</v>
      </c>
      <c r="C32" s="18">
        <v>8.0000000000000004E-4</v>
      </c>
      <c r="D32" s="18">
        <v>-1.1836</v>
      </c>
      <c r="E32" s="18">
        <v>-1.2144999999999999</v>
      </c>
      <c r="F32" s="18">
        <v>1.338E-3</v>
      </c>
      <c r="G32" s="18">
        <v>7.7700000000000002E-4</v>
      </c>
      <c r="H32" s="269"/>
      <c r="I32" s="50" t="s">
        <v>481</v>
      </c>
      <c r="J32" s="407"/>
      <c r="K32" s="242"/>
      <c r="L32" s="87"/>
      <c r="M32" s="377"/>
      <c r="N32" s="377"/>
      <c r="O32" s="377"/>
      <c r="P32" s="377"/>
      <c r="Q32" s="377"/>
      <c r="R32" s="377"/>
      <c r="S32" s="377"/>
      <c r="T32"/>
    </row>
    <row r="33" spans="1:22" ht="15" customHeight="1">
      <c r="A33" s="20">
        <v>41</v>
      </c>
      <c r="B33" s="18">
        <v>1.5399999999999999E-3</v>
      </c>
      <c r="C33" s="18">
        <v>8.7000000000000001E-4</v>
      </c>
      <c r="D33" s="18">
        <v>-1.2735000000000001</v>
      </c>
      <c r="E33" s="18">
        <v>-1.2839</v>
      </c>
      <c r="F33" s="18">
        <v>1.4239999999999999E-3</v>
      </c>
      <c r="G33" s="18">
        <v>8.4599999999999996E-4</v>
      </c>
      <c r="H33" s="269"/>
      <c r="I33" s="407"/>
      <c r="J33" s="55" t="s">
        <v>482</v>
      </c>
      <c r="K33" s="107" t="s">
        <v>483</v>
      </c>
      <c r="L33" s="87"/>
      <c r="M33" s="377"/>
      <c r="N33" s="377"/>
      <c r="O33" s="377"/>
      <c r="P33" s="377"/>
      <c r="Q33" s="377"/>
      <c r="R33" s="377"/>
      <c r="S33" s="377"/>
      <c r="U33" s="4"/>
      <c r="V33" s="4"/>
    </row>
    <row r="34" spans="1:22" ht="15" customHeight="1">
      <c r="A34" s="20">
        <v>42</v>
      </c>
      <c r="B34" s="18">
        <v>1.65E-3</v>
      </c>
      <c r="C34" s="18">
        <v>9.5E-4</v>
      </c>
      <c r="D34" s="18">
        <v>-1.3768</v>
      </c>
      <c r="E34" s="18">
        <v>-1.3634999999999999</v>
      </c>
      <c r="F34" s="18">
        <v>1.523E-3</v>
      </c>
      <c r="G34" s="18">
        <v>9.2100000000000005E-4</v>
      </c>
      <c r="H34" s="269"/>
      <c r="I34" s="233"/>
      <c r="J34" s="6" t="s">
        <v>484</v>
      </c>
      <c r="K34" s="107" t="s">
        <v>485</v>
      </c>
      <c r="L34" s="87"/>
      <c r="U34" s="4"/>
      <c r="V34" s="4"/>
    </row>
    <row r="35" spans="1:22" ht="30" customHeight="1">
      <c r="A35" s="20">
        <v>43</v>
      </c>
      <c r="B35" s="18">
        <v>1.7600000000000001E-3</v>
      </c>
      <c r="C35" s="18">
        <v>1.0399999999999999E-3</v>
      </c>
      <c r="D35" s="18">
        <v>-1.4796</v>
      </c>
      <c r="E35" s="18">
        <v>-1.4508000000000001</v>
      </c>
      <c r="F35" s="18">
        <v>1.634E-3</v>
      </c>
      <c r="G35" s="18">
        <v>1.003E-3</v>
      </c>
      <c r="H35" s="269"/>
      <c r="I35" s="234"/>
      <c r="J35" s="6"/>
      <c r="K35" s="6"/>
      <c r="L35" s="87"/>
      <c r="V35" s="4"/>
    </row>
    <row r="36" spans="1:22" ht="15" customHeight="1">
      <c r="A36" s="20">
        <v>44</v>
      </c>
      <c r="B36" s="18">
        <v>1.9E-3</v>
      </c>
      <c r="C36" s="18">
        <v>1.14E-3</v>
      </c>
      <c r="D36" s="18">
        <v>-1.5964</v>
      </c>
      <c r="E36" s="18">
        <v>-1.5435000000000001</v>
      </c>
      <c r="F36" s="18">
        <v>1.758E-3</v>
      </c>
      <c r="G36" s="18">
        <v>1.0920000000000001E-3</v>
      </c>
      <c r="H36" s="269"/>
      <c r="I36" s="103" t="s">
        <v>455</v>
      </c>
      <c r="J36" s="103"/>
      <c r="K36" s="103"/>
      <c r="L36" s="103"/>
      <c r="M36" s="103"/>
      <c r="N36" s="103"/>
      <c r="O36" s="103"/>
      <c r="P36" s="103"/>
      <c r="V36" s="4"/>
    </row>
    <row r="37" spans="1:22" ht="15" customHeight="1">
      <c r="A37" s="20">
        <v>45</v>
      </c>
      <c r="B37" s="18">
        <v>2.0400000000000001E-3</v>
      </c>
      <c r="C37" s="18">
        <v>1.24E-3</v>
      </c>
      <c r="D37" s="18">
        <v>-1.7165999999999999</v>
      </c>
      <c r="E37" s="18">
        <v>-1.6395999999999999</v>
      </c>
      <c r="F37" s="18">
        <v>1.8979999999999999E-3</v>
      </c>
      <c r="G37" s="18">
        <v>1.188E-3</v>
      </c>
      <c r="H37" s="269"/>
      <c r="V37" s="4"/>
    </row>
    <row r="38" spans="1:22" ht="15" customHeight="1">
      <c r="A38" s="20">
        <v>46</v>
      </c>
      <c r="B38" s="18">
        <v>2.2100000000000002E-3</v>
      </c>
      <c r="C38" s="18">
        <v>1.3500000000000001E-3</v>
      </c>
      <c r="D38" s="18">
        <v>-1.8315999999999999</v>
      </c>
      <c r="E38" s="18">
        <v>-1.7261</v>
      </c>
      <c r="F38" s="18">
        <v>2.055E-3</v>
      </c>
      <c r="G38" s="18">
        <v>1.292E-3</v>
      </c>
      <c r="H38" s="269"/>
      <c r="I38" t="s">
        <v>173</v>
      </c>
      <c r="J38" s="390">
        <f>1587.5</f>
        <v>1587.5</v>
      </c>
      <c r="V38" s="4"/>
    </row>
    <row r="39" spans="1:22" ht="15" customHeight="1">
      <c r="A39" s="20">
        <v>47</v>
      </c>
      <c r="B39" s="18">
        <v>2.3800000000000002E-3</v>
      </c>
      <c r="C39" s="18">
        <v>1.47E-3</v>
      </c>
      <c r="D39" s="18">
        <v>-1.9500999999999999</v>
      </c>
      <c r="E39" s="18">
        <v>-1.8008</v>
      </c>
      <c r="F39" s="18">
        <v>2.2290000000000001E-3</v>
      </c>
      <c r="G39" s="18">
        <v>1.4040000000000001E-3</v>
      </c>
      <c r="H39" s="269"/>
      <c r="I39" t="s">
        <v>174</v>
      </c>
      <c r="J39" s="110">
        <f>J38/5*220</f>
        <v>69850</v>
      </c>
      <c r="K39" s="46">
        <f>AnnualisedAWOTE*AWOTEBenchmark</f>
        <v>29169.360000000001</v>
      </c>
    </row>
    <row r="40" spans="1:22" ht="15" customHeight="1">
      <c r="A40" s="20">
        <v>48</v>
      </c>
      <c r="B40" s="18">
        <v>2.5799999999999998E-3</v>
      </c>
      <c r="C40" s="18">
        <v>1.5900000000000001E-3</v>
      </c>
      <c r="D40" s="18">
        <v>-2.0672000000000001</v>
      </c>
      <c r="E40" s="18">
        <v>-1.8632</v>
      </c>
      <c r="F40" s="18">
        <v>2.421E-3</v>
      </c>
      <c r="G40" s="18">
        <v>1.524E-3</v>
      </c>
      <c r="H40" s="269"/>
      <c r="T40" s="4"/>
    </row>
    <row r="41" spans="1:22" ht="15" customHeight="1">
      <c r="A41" s="20">
        <v>49</v>
      </c>
      <c r="B41" s="18">
        <v>2.8E-3</v>
      </c>
      <c r="C41" s="18">
        <v>1.73E-3</v>
      </c>
      <c r="D41" s="18">
        <v>-2.1814</v>
      </c>
      <c r="E41" s="18">
        <v>-1.915</v>
      </c>
      <c r="F41" s="18">
        <v>2.6340000000000001E-3</v>
      </c>
      <c r="G41" s="18">
        <v>1.653E-3</v>
      </c>
      <c r="H41" s="269"/>
      <c r="J41" s="46"/>
      <c r="T41" s="4"/>
    </row>
    <row r="42" spans="1:22" ht="15" customHeight="1">
      <c r="A42" s="20">
        <v>50</v>
      </c>
      <c r="B42" s="18">
        <v>3.0300000000000001E-3</v>
      </c>
      <c r="C42" s="18">
        <v>1.8699999999999999E-3</v>
      </c>
      <c r="D42" s="18">
        <v>-2.2848999999999999</v>
      </c>
      <c r="E42" s="18">
        <v>-1.9783999999999999</v>
      </c>
      <c r="F42" s="18">
        <v>2.8679999999999999E-3</v>
      </c>
      <c r="G42" s="18">
        <v>1.792E-3</v>
      </c>
      <c r="H42" s="269"/>
      <c r="I42" s="87" t="s">
        <v>454</v>
      </c>
      <c r="P42" s="4"/>
      <c r="Q42" s="4"/>
      <c r="R42" s="4"/>
      <c r="S42" s="4"/>
      <c r="T42" s="4"/>
    </row>
    <row r="43" spans="1:22" ht="15" customHeight="1">
      <c r="A43" s="20">
        <v>51</v>
      </c>
      <c r="B43" s="18">
        <v>3.29E-3</v>
      </c>
      <c r="C43" s="18">
        <v>2.0200000000000001E-3</v>
      </c>
      <c r="D43" s="18">
        <v>-2.3839999999999999</v>
      </c>
      <c r="E43" s="18">
        <v>-2.0396000000000001</v>
      </c>
      <c r="F43" s="18">
        <v>3.1250000000000002E-3</v>
      </c>
      <c r="G43" s="18">
        <v>1.9400000000000001E-3</v>
      </c>
      <c r="H43" s="269"/>
      <c r="P43" s="4"/>
      <c r="Q43" s="4"/>
      <c r="R43" s="4"/>
      <c r="S43" s="4"/>
      <c r="T43" s="4"/>
    </row>
    <row r="44" spans="1:22" ht="15" customHeight="1">
      <c r="A44" s="20">
        <v>52</v>
      </c>
      <c r="B44" s="18">
        <v>3.5699999999999998E-3</v>
      </c>
      <c r="C44" s="18">
        <v>2.1800000000000001E-3</v>
      </c>
      <c r="D44" s="18">
        <v>-2.4784999999999999</v>
      </c>
      <c r="E44" s="18">
        <v>-2.0983000000000001</v>
      </c>
      <c r="F44" s="18">
        <v>3.405E-3</v>
      </c>
      <c r="G44" s="18">
        <v>2.098E-3</v>
      </c>
      <c r="H44" s="269"/>
      <c r="I44" s="4"/>
      <c r="J44" s="4"/>
      <c r="K44" s="4"/>
      <c r="L44" s="4"/>
      <c r="M44" s="4"/>
      <c r="N44" s="4"/>
      <c r="O44" s="4"/>
      <c r="P44" s="4"/>
      <c r="Q44" s="4"/>
      <c r="R44" s="4"/>
      <c r="S44" s="4"/>
      <c r="T44" s="4"/>
      <c r="V44" s="4"/>
    </row>
    <row r="45" spans="1:22" ht="15" customHeight="1">
      <c r="A45" s="20">
        <v>53</v>
      </c>
      <c r="B45" s="18">
        <v>3.8600000000000001E-3</v>
      </c>
      <c r="C45" s="18">
        <v>2.3500000000000001E-3</v>
      </c>
      <c r="D45" s="18">
        <v>-2.5682</v>
      </c>
      <c r="E45" s="18">
        <v>-2.1545000000000001</v>
      </c>
      <c r="F45" s="18">
        <v>3.7100000000000002E-3</v>
      </c>
      <c r="G45" s="18">
        <v>2.2659999999999998E-3</v>
      </c>
      <c r="H45" s="269"/>
      <c r="I45" s="103" t="s">
        <v>871</v>
      </c>
      <c r="J45" s="759" t="s">
        <v>1240</v>
      </c>
      <c r="K45" s="4"/>
      <c r="L45" s="4"/>
      <c r="M45" s="4"/>
      <c r="N45" s="4"/>
      <c r="O45" s="4"/>
      <c r="P45" s="4"/>
      <c r="Q45" s="4"/>
      <c r="R45" s="4"/>
      <c r="S45" s="4"/>
      <c r="T45" s="4"/>
      <c r="V45" s="4"/>
    </row>
    <row r="46" spans="1:22" ht="15" customHeight="1">
      <c r="A46" s="20">
        <v>54</v>
      </c>
      <c r="B46" s="18">
        <v>4.1900000000000001E-3</v>
      </c>
      <c r="C46" s="18">
        <v>2.5200000000000001E-3</v>
      </c>
      <c r="D46" s="18">
        <v>-2.6528</v>
      </c>
      <c r="E46" s="18">
        <v>-2.2078000000000002</v>
      </c>
      <c r="F46" s="18">
        <v>4.0390000000000001E-3</v>
      </c>
      <c r="G46" s="18">
        <v>2.4459999999999998E-3</v>
      </c>
      <c r="H46" s="269"/>
      <c r="I46" s="682"/>
      <c r="J46" s="682"/>
      <c r="K46" s="4"/>
      <c r="L46" s="4"/>
      <c r="M46" s="4"/>
      <c r="N46" s="4"/>
      <c r="O46" s="4"/>
      <c r="P46" s="4"/>
      <c r="Q46" s="4"/>
      <c r="R46" s="4"/>
      <c r="S46" s="4"/>
      <c r="T46" s="4"/>
      <c r="V46" s="4"/>
    </row>
    <row r="47" spans="1:22" ht="15" customHeight="1">
      <c r="A47" s="20">
        <v>55</v>
      </c>
      <c r="B47" s="18">
        <v>4.5399999999999998E-3</v>
      </c>
      <c r="C47" s="18">
        <v>2.7200000000000002E-3</v>
      </c>
      <c r="D47" s="18">
        <v>-2.7322000000000002</v>
      </c>
      <c r="E47" s="18">
        <v>-2.2583000000000002</v>
      </c>
      <c r="F47" s="18">
        <v>4.3810000000000003E-3</v>
      </c>
      <c r="G47" s="18">
        <v>2.637E-3</v>
      </c>
      <c r="H47" s="269"/>
      <c r="I47" s="490"/>
      <c r="J47" s="490"/>
      <c r="K47" s="4"/>
      <c r="L47" s="4"/>
      <c r="P47" s="4"/>
      <c r="Q47" s="4"/>
      <c r="R47" s="4"/>
      <c r="S47" s="4"/>
      <c r="T47" s="4"/>
      <c r="V47" s="4"/>
    </row>
    <row r="48" spans="1:22" ht="15" customHeight="1">
      <c r="A48" s="20">
        <v>56</v>
      </c>
      <c r="B48" s="18">
        <v>4.9300000000000004E-3</v>
      </c>
      <c r="C48" s="18">
        <v>2.96E-3</v>
      </c>
      <c r="D48" s="18">
        <v>-2.8060999999999998</v>
      </c>
      <c r="E48" s="18">
        <v>-2.3056000000000001</v>
      </c>
      <c r="F48" s="18">
        <v>4.7419999999999997E-3</v>
      </c>
      <c r="G48" s="18">
        <v>2.8470000000000001E-3</v>
      </c>
      <c r="H48" s="269"/>
      <c r="I48" s="490"/>
      <c r="J48" s="4"/>
      <c r="K48" s="4"/>
      <c r="L48" s="4"/>
      <c r="P48" s="4"/>
      <c r="Q48" s="4"/>
      <c r="R48" s="4"/>
      <c r="S48" s="4"/>
      <c r="V48" s="4"/>
    </row>
    <row r="49" spans="1:22" ht="15" customHeight="1">
      <c r="A49" s="20">
        <v>57</v>
      </c>
      <c r="B49" s="18">
        <v>5.3800000000000002E-3</v>
      </c>
      <c r="C49" s="18">
        <v>3.2499999999999999E-3</v>
      </c>
      <c r="D49" s="18">
        <v>-2.8742999999999999</v>
      </c>
      <c r="E49" s="18">
        <v>-2.3496999999999999</v>
      </c>
      <c r="F49" s="18">
        <v>5.1339999999999997E-3</v>
      </c>
      <c r="G49" s="18">
        <v>3.0839999999999999E-3</v>
      </c>
      <c r="H49" s="269"/>
      <c r="I49" s="4"/>
      <c r="J49" s="4"/>
      <c r="K49" s="4"/>
      <c r="L49" s="4"/>
      <c r="P49" s="4"/>
      <c r="Q49" s="4"/>
      <c r="R49" s="4"/>
      <c r="S49" s="4"/>
      <c r="V49" s="4"/>
    </row>
    <row r="50" spans="1:22" ht="15" customHeight="1">
      <c r="A50" s="20">
        <v>58</v>
      </c>
      <c r="B50" s="18">
        <v>5.9100000000000003E-3</v>
      </c>
      <c r="C50" s="18">
        <v>3.5799999999999998E-3</v>
      </c>
      <c r="D50" s="18">
        <v>-2.9365000000000001</v>
      </c>
      <c r="E50" s="18">
        <v>-2.3902999999999999</v>
      </c>
      <c r="F50" s="18">
        <v>5.568E-3</v>
      </c>
      <c r="G50" s="18">
        <v>3.3540000000000002E-3</v>
      </c>
      <c r="H50" s="269"/>
    </row>
    <row r="51" spans="1:22" ht="15" customHeight="1">
      <c r="A51" s="20">
        <v>59</v>
      </c>
      <c r="B51" s="18">
        <v>6.5199999999999998E-3</v>
      </c>
      <c r="C51" s="18">
        <v>3.9500000000000004E-3</v>
      </c>
      <c r="D51" s="18">
        <v>-2.9925000000000002</v>
      </c>
      <c r="E51" s="18">
        <v>-2.4272999999999998</v>
      </c>
      <c r="F51" s="18">
        <v>6.0530000000000002E-3</v>
      </c>
      <c r="G51" s="18">
        <v>3.6640000000000002E-3</v>
      </c>
      <c r="H51" s="269"/>
    </row>
    <row r="52" spans="1:22" ht="15" customHeight="1">
      <c r="A52" s="20">
        <v>60</v>
      </c>
      <c r="B52" s="18">
        <v>7.2100000000000003E-3</v>
      </c>
      <c r="C52" s="18">
        <v>4.3600000000000002E-3</v>
      </c>
      <c r="D52" s="18">
        <v>-3.0421</v>
      </c>
      <c r="E52" s="18">
        <v>-2.4605000000000001</v>
      </c>
      <c r="F52" s="18">
        <v>6.6E-3</v>
      </c>
      <c r="G52" s="18">
        <v>4.0080000000000003E-3</v>
      </c>
      <c r="H52" s="269"/>
    </row>
    <row r="53" spans="1:22" ht="15" customHeight="1">
      <c r="A53" s="20">
        <v>61</v>
      </c>
      <c r="B53" s="18">
        <v>7.9900000000000006E-3</v>
      </c>
      <c r="C53" s="18">
        <v>4.79E-3</v>
      </c>
      <c r="D53" s="18">
        <v>-3.0851000000000002</v>
      </c>
      <c r="E53" s="18">
        <v>-2.4897</v>
      </c>
      <c r="F53" s="18">
        <v>7.2199999999999999E-3</v>
      </c>
      <c r="G53" s="18">
        <v>4.3779999999999999E-3</v>
      </c>
      <c r="H53" s="269"/>
    </row>
    <row r="54" spans="1:22" ht="15" customHeight="1">
      <c r="A54" s="20">
        <v>62</v>
      </c>
      <c r="B54" s="18">
        <v>8.8500000000000002E-3</v>
      </c>
      <c r="C54" s="18">
        <v>5.2399999999999999E-3</v>
      </c>
      <c r="D54" s="18">
        <v>-3.1212</v>
      </c>
      <c r="E54" s="18">
        <v>-2.5146999999999999</v>
      </c>
      <c r="F54" s="18">
        <v>7.9209999999999992E-3</v>
      </c>
      <c r="G54" s="18">
        <v>4.7710000000000001E-3</v>
      </c>
      <c r="H54" s="269"/>
      <c r="I54" s="318"/>
      <c r="J54" s="318"/>
      <c r="K54" s="318"/>
    </row>
    <row r="55" spans="1:22" ht="15" customHeight="1">
      <c r="A55" s="20">
        <v>63</v>
      </c>
      <c r="B55" s="18">
        <v>9.8099999999999993E-3</v>
      </c>
      <c r="C55" s="18">
        <v>5.7200000000000003E-3</v>
      </c>
      <c r="D55" s="18">
        <v>-3.1501999999999999</v>
      </c>
      <c r="E55" s="18">
        <v>-2.5354999999999999</v>
      </c>
      <c r="F55" s="18">
        <v>8.7039999999999999E-3</v>
      </c>
      <c r="G55" s="18">
        <v>5.1960000000000001E-3</v>
      </c>
      <c r="H55" s="269"/>
    </row>
    <row r="56" spans="1:22" ht="15" customHeight="1">
      <c r="A56" s="20">
        <v>64</v>
      </c>
      <c r="B56" s="18">
        <v>1.085E-2</v>
      </c>
      <c r="C56" s="18">
        <v>6.2300000000000003E-3</v>
      </c>
      <c r="D56" s="18">
        <v>-3.1718999999999999</v>
      </c>
      <c r="E56" s="18">
        <v>-2.5516999999999999</v>
      </c>
      <c r="F56" s="18">
        <v>9.5659999999999999E-3</v>
      </c>
      <c r="G56" s="18">
        <v>5.6680000000000003E-3</v>
      </c>
      <c r="H56" s="269"/>
      <c r="I56" s="377"/>
    </row>
    <row r="57" spans="1:22" ht="15" customHeight="1">
      <c r="A57" s="20">
        <v>65</v>
      </c>
      <c r="B57" s="18">
        <v>1.2E-2</v>
      </c>
      <c r="C57" s="18">
        <v>6.79E-3</v>
      </c>
      <c r="D57" s="18">
        <v>-3.1859999999999999</v>
      </c>
      <c r="E57" s="18">
        <v>-2.5632999999999999</v>
      </c>
      <c r="F57" s="18">
        <v>1.0505E-2</v>
      </c>
      <c r="G57" s="18">
        <v>6.2030000000000002E-3</v>
      </c>
      <c r="H57" s="269"/>
      <c r="I57" s="377"/>
    </row>
    <row r="58" spans="1:22" ht="15" customHeight="1">
      <c r="A58" s="20">
        <v>66</v>
      </c>
      <c r="B58" s="18">
        <v>1.323E-2</v>
      </c>
      <c r="C58" s="18">
        <v>7.43E-3</v>
      </c>
      <c r="D58" s="18">
        <v>-3.1924000000000001</v>
      </c>
      <c r="E58" s="18">
        <v>-2.57</v>
      </c>
      <c r="F58" s="18">
        <v>1.1519E-2</v>
      </c>
      <c r="G58" s="18">
        <v>6.8139999999999997E-3</v>
      </c>
      <c r="H58" s="269"/>
    </row>
    <row r="59" spans="1:22" ht="15" customHeight="1">
      <c r="A59" s="20">
        <v>67</v>
      </c>
      <c r="B59" s="18">
        <v>1.457E-2</v>
      </c>
      <c r="C59" s="18">
        <v>8.1700000000000002E-3</v>
      </c>
      <c r="D59" s="18">
        <v>-3.1907999999999999</v>
      </c>
      <c r="E59" s="18">
        <v>-2.5716999999999999</v>
      </c>
      <c r="F59" s="18">
        <v>1.2614E-2</v>
      </c>
      <c r="G59" s="18">
        <v>7.515E-3</v>
      </c>
      <c r="H59" s="269"/>
    </row>
    <row r="60" spans="1:22" ht="15" customHeight="1">
      <c r="A60" s="20">
        <v>68</v>
      </c>
      <c r="B60" s="18">
        <v>1.601E-2</v>
      </c>
      <c r="C60" s="18">
        <v>9.0200000000000002E-3</v>
      </c>
      <c r="D60" s="18">
        <v>-3.1808999999999998</v>
      </c>
      <c r="E60" s="18">
        <v>-2.5682999999999998</v>
      </c>
      <c r="F60" s="18">
        <v>1.3821999999999999E-2</v>
      </c>
      <c r="G60" s="18">
        <v>8.3210000000000003E-3</v>
      </c>
      <c r="H60" s="269"/>
    </row>
    <row r="61" spans="1:22" ht="15" customHeight="1">
      <c r="A61" s="20">
        <v>69</v>
      </c>
      <c r="B61" s="18">
        <v>1.755E-2</v>
      </c>
      <c r="C61" s="18">
        <v>1.001E-2</v>
      </c>
      <c r="D61" s="18">
        <v>-3.1625000000000001</v>
      </c>
      <c r="E61" s="18">
        <v>-2.5594000000000001</v>
      </c>
      <c r="F61" s="18">
        <v>1.5186E-2</v>
      </c>
      <c r="G61" s="18">
        <v>9.2460000000000007E-3</v>
      </c>
      <c r="H61" s="269"/>
    </row>
    <row r="62" spans="1:22" ht="15" customHeight="1">
      <c r="A62" s="20">
        <v>70</v>
      </c>
      <c r="B62" s="18">
        <v>1.9199999999999998E-2</v>
      </c>
      <c r="C62" s="18">
        <v>1.115E-2</v>
      </c>
      <c r="D62" s="18">
        <v>-3.1355</v>
      </c>
      <c r="E62" s="18">
        <v>-2.5451000000000001</v>
      </c>
      <c r="F62" s="18">
        <v>1.6744999999999999E-2</v>
      </c>
      <c r="G62" s="18">
        <v>1.0305E-2</v>
      </c>
      <c r="H62" s="269"/>
    </row>
    <row r="63" spans="1:22" ht="15" customHeight="1">
      <c r="A63" s="20">
        <v>71</v>
      </c>
      <c r="B63" s="18">
        <v>2.1000000000000001E-2</v>
      </c>
      <c r="C63" s="18">
        <v>1.2460000000000001E-2</v>
      </c>
      <c r="D63" s="18">
        <v>-3.0996000000000001</v>
      </c>
      <c r="E63" s="18">
        <v>-2.5249999999999999</v>
      </c>
      <c r="F63" s="18">
        <v>1.8540000000000001E-2</v>
      </c>
      <c r="G63" s="18">
        <v>1.1509999999999999E-2</v>
      </c>
      <c r="H63" s="269"/>
    </row>
    <row r="64" spans="1:22" ht="15" customHeight="1">
      <c r="A64" s="20">
        <v>72</v>
      </c>
      <c r="B64" s="18">
        <v>2.3199999999999998E-2</v>
      </c>
      <c r="C64" s="18">
        <v>1.397E-2</v>
      </c>
      <c r="D64" s="18">
        <v>-3.0545</v>
      </c>
      <c r="E64" s="18">
        <v>-2.4990999999999999</v>
      </c>
      <c r="F64" s="18">
        <v>2.0611999999999998E-2</v>
      </c>
      <c r="G64" s="18">
        <v>1.2877E-2</v>
      </c>
      <c r="H64" s="269"/>
    </row>
    <row r="65" spans="1:9" ht="15" customHeight="1">
      <c r="A65" s="20">
        <v>73</v>
      </c>
      <c r="B65" s="18">
        <v>2.6020000000000001E-2</v>
      </c>
      <c r="C65" s="18">
        <v>1.5679999999999999E-2</v>
      </c>
      <c r="D65" s="18">
        <v>-3</v>
      </c>
      <c r="E65" s="18">
        <v>-2.4670999999999998</v>
      </c>
      <c r="F65" s="18">
        <v>2.2998000000000001E-2</v>
      </c>
      <c r="G65" s="18">
        <v>1.4418E-2</v>
      </c>
      <c r="H65" s="269"/>
    </row>
    <row r="66" spans="1:9" ht="15" customHeight="1">
      <c r="A66" s="20">
        <v>74</v>
      </c>
      <c r="B66" s="18">
        <v>2.938E-2</v>
      </c>
      <c r="C66" s="18">
        <v>1.763E-2</v>
      </c>
      <c r="D66" s="18">
        <v>-2.9359000000000002</v>
      </c>
      <c r="E66" s="18">
        <v>-2.4287999999999998</v>
      </c>
      <c r="F66" s="18">
        <v>2.5738E-2</v>
      </c>
      <c r="G66" s="18">
        <v>1.6147999999999999E-2</v>
      </c>
      <c r="H66" s="269"/>
    </row>
    <row r="67" spans="1:9" ht="15" customHeight="1">
      <c r="A67" s="20">
        <v>75</v>
      </c>
      <c r="B67" s="18">
        <v>3.3119999999999997E-2</v>
      </c>
      <c r="C67" s="18">
        <v>1.9820000000000001E-2</v>
      </c>
      <c r="D67" s="18">
        <v>-2.8586999999999998</v>
      </c>
      <c r="E67" s="18">
        <v>-2.3841999999999999</v>
      </c>
      <c r="F67" s="18">
        <v>2.887E-2</v>
      </c>
      <c r="G67" s="18">
        <v>1.8079999999999999E-2</v>
      </c>
      <c r="H67" s="269"/>
    </row>
    <row r="68" spans="1:9" ht="15" customHeight="1">
      <c r="A68" s="20">
        <v>76</v>
      </c>
      <c r="B68" s="18">
        <v>3.7159999999999999E-2</v>
      </c>
      <c r="C68" s="18">
        <v>2.2280000000000001E-2</v>
      </c>
      <c r="D68" s="18">
        <v>-2.7673000000000001</v>
      </c>
      <c r="E68" s="18">
        <v>-2.3330000000000002</v>
      </c>
      <c r="F68" s="18">
        <v>3.243E-2</v>
      </c>
      <c r="G68" s="18">
        <v>2.0242E-2</v>
      </c>
      <c r="H68" s="269"/>
    </row>
    <row r="69" spans="1:9" ht="15" customHeight="1">
      <c r="A69" s="20">
        <v>77</v>
      </c>
      <c r="B69" s="18">
        <v>4.1529999999999997E-2</v>
      </c>
      <c r="C69" s="18">
        <v>2.511E-2</v>
      </c>
      <c r="D69" s="18">
        <v>-2.6629</v>
      </c>
      <c r="E69" s="18">
        <v>-2.2749999999999999</v>
      </c>
      <c r="F69" s="18">
        <v>3.6455000000000001E-2</v>
      </c>
      <c r="G69" s="18">
        <v>2.2726E-2</v>
      </c>
      <c r="H69" s="269"/>
    </row>
    <row r="70" spans="1:9" ht="15" customHeight="1">
      <c r="A70" s="20">
        <v>78</v>
      </c>
      <c r="B70" s="18">
        <v>4.6339999999999999E-2</v>
      </c>
      <c r="C70" s="18">
        <v>2.8379999999999999E-2</v>
      </c>
      <c r="D70" s="18">
        <v>-2.5482</v>
      </c>
      <c r="E70" s="18">
        <v>-2.2101000000000002</v>
      </c>
      <c r="F70" s="18">
        <v>4.0987000000000003E-2</v>
      </c>
      <c r="G70" s="18">
        <v>2.5638000000000001E-2</v>
      </c>
      <c r="H70" s="269"/>
    </row>
    <row r="71" spans="1:9" ht="15" customHeight="1">
      <c r="A71" s="20">
        <v>79</v>
      </c>
      <c r="B71" s="18">
        <v>5.1670000000000001E-2</v>
      </c>
      <c r="C71" s="18">
        <v>3.2190000000000003E-2</v>
      </c>
      <c r="D71" s="18">
        <v>-2.4247999999999998</v>
      </c>
      <c r="E71" s="18">
        <v>-2.1381999999999999</v>
      </c>
      <c r="F71" s="18">
        <v>4.6103999999999999E-2</v>
      </c>
      <c r="G71" s="18">
        <v>2.9082E-2</v>
      </c>
      <c r="H71" s="269"/>
    </row>
    <row r="72" spans="1:9" ht="15" customHeight="1">
      <c r="A72" s="20">
        <v>80</v>
      </c>
      <c r="B72" s="18">
        <v>5.7599999999999998E-2</v>
      </c>
      <c r="C72" s="18">
        <v>3.6609999999999997E-2</v>
      </c>
      <c r="D72" s="18">
        <v>-2.2927</v>
      </c>
      <c r="E72" s="18">
        <v>-2.0589</v>
      </c>
      <c r="F72" s="18">
        <v>5.1887000000000003E-2</v>
      </c>
      <c r="G72" s="18">
        <v>3.3160000000000002E-2</v>
      </c>
      <c r="H72" s="269"/>
    </row>
    <row r="73" spans="1:9" ht="15" customHeight="1">
      <c r="A73" s="20">
        <v>81</v>
      </c>
      <c r="B73" s="18">
        <v>6.4219999999999999E-2</v>
      </c>
      <c r="C73" s="18">
        <v>4.1750000000000002E-2</v>
      </c>
      <c r="D73" s="18">
        <v>-2.1568999999999998</v>
      </c>
      <c r="E73" s="18">
        <v>-1.9722</v>
      </c>
      <c r="F73" s="18">
        <v>5.8416999999999997E-2</v>
      </c>
      <c r="G73" s="18">
        <v>3.7969999999999997E-2</v>
      </c>
      <c r="H73" s="269"/>
    </row>
    <row r="74" spans="1:9" ht="15" customHeight="1">
      <c r="A74" s="20">
        <v>82</v>
      </c>
      <c r="B74" s="18">
        <v>7.1599999999999997E-2</v>
      </c>
      <c r="C74" s="18">
        <v>4.7669999999999997E-2</v>
      </c>
      <c r="D74" s="18">
        <v>-2.0236999999999998</v>
      </c>
      <c r="E74" s="18">
        <v>-1.8778999999999999</v>
      </c>
      <c r="F74" s="18">
        <v>6.5767000000000006E-2</v>
      </c>
      <c r="G74" s="18">
        <v>4.3608000000000001E-2</v>
      </c>
      <c r="H74" s="269"/>
    </row>
    <row r="75" spans="1:9" ht="15" customHeight="1">
      <c r="A75" s="20">
        <v>83</v>
      </c>
      <c r="B75" s="18">
        <v>7.9829999999999998E-2</v>
      </c>
      <c r="C75" s="18">
        <v>5.4449999999999998E-2</v>
      </c>
      <c r="D75" s="18">
        <v>-1.8960999999999999</v>
      </c>
      <c r="E75" s="18">
        <v>-1.7947</v>
      </c>
      <c r="F75" s="18">
        <v>7.4009000000000005E-2</v>
      </c>
      <c r="G75" s="18">
        <v>5.0166000000000002E-2</v>
      </c>
      <c r="H75" s="269"/>
    </row>
    <row r="76" spans="1:9" ht="15" customHeight="1">
      <c r="A76" s="20">
        <v>84</v>
      </c>
      <c r="B76" s="18">
        <v>8.8959999999999997E-2</v>
      </c>
      <c r="C76" s="18">
        <v>6.216E-2</v>
      </c>
      <c r="D76" s="18">
        <v>-1.7777000000000001</v>
      </c>
      <c r="E76" s="18">
        <v>-1.6626000000000001</v>
      </c>
      <c r="F76" s="18">
        <v>8.3207000000000003E-2</v>
      </c>
      <c r="G76" s="18">
        <v>5.7728000000000002E-2</v>
      </c>
      <c r="H76" s="269"/>
      <c r="I76" s="10"/>
    </row>
    <row r="77" spans="1:9" ht="15" customHeight="1">
      <c r="A77" s="20">
        <v>85</v>
      </c>
      <c r="B77" s="18">
        <v>9.9070000000000005E-2</v>
      </c>
      <c r="C77" s="18">
        <v>7.0879999999999999E-2</v>
      </c>
      <c r="D77" s="18">
        <v>-1.6586000000000001</v>
      </c>
      <c r="E77" s="18">
        <v>-1.5241</v>
      </c>
      <c r="F77" s="18">
        <v>9.3419000000000002E-2</v>
      </c>
      <c r="G77" s="18">
        <v>6.6375000000000003E-2</v>
      </c>
      <c r="H77" s="269"/>
      <c r="I77" s="10"/>
    </row>
    <row r="78" spans="1:9" ht="15" customHeight="1">
      <c r="A78" s="20">
        <v>86</v>
      </c>
      <c r="B78" s="18">
        <v>0.11020000000000001</v>
      </c>
      <c r="C78" s="18">
        <v>8.0649999999999999E-2</v>
      </c>
      <c r="D78" s="18">
        <v>-1.5324</v>
      </c>
      <c r="E78" s="18">
        <v>-1.3825000000000001</v>
      </c>
      <c r="F78" s="18">
        <v>0.104698</v>
      </c>
      <c r="G78" s="18">
        <v>7.6178999999999997E-2</v>
      </c>
      <c r="H78" s="269"/>
      <c r="I78" s="10"/>
    </row>
    <row r="79" spans="1:9" ht="15" customHeight="1">
      <c r="A79" s="20">
        <v>87</v>
      </c>
      <c r="B79" s="18">
        <v>0.12236</v>
      </c>
      <c r="C79" s="18">
        <v>9.1539999999999996E-2</v>
      </c>
      <c r="D79" s="18">
        <v>-1.3948</v>
      </c>
      <c r="E79" s="18">
        <v>-1.2403999999999999</v>
      </c>
      <c r="F79" s="18">
        <v>0.117086</v>
      </c>
      <c r="G79" s="18">
        <v>8.7204000000000004E-2</v>
      </c>
      <c r="H79" s="269"/>
      <c r="I79" s="10"/>
    </row>
    <row r="80" spans="1:9" ht="15" customHeight="1">
      <c r="A80" s="20">
        <v>88</v>
      </c>
      <c r="B80" s="18">
        <v>0.13533999999999999</v>
      </c>
      <c r="C80" s="18">
        <v>0.10358000000000001</v>
      </c>
      <c r="D80" s="18">
        <v>-1.2427999999999999</v>
      </c>
      <c r="E80" s="18">
        <v>-1.1005</v>
      </c>
      <c r="F80" s="18">
        <v>0.13061900000000001</v>
      </c>
      <c r="G80" s="18">
        <v>9.9503999999999995E-2</v>
      </c>
      <c r="H80" s="269"/>
      <c r="I80" s="10"/>
    </row>
    <row r="81" spans="1:9" ht="15" customHeight="1">
      <c r="A81" s="20">
        <v>89</v>
      </c>
      <c r="B81" s="18">
        <v>0.14892</v>
      </c>
      <c r="C81" s="18">
        <v>0.11677999999999999</v>
      </c>
      <c r="D81" s="18">
        <v>-1.0757000000000001</v>
      </c>
      <c r="E81" s="18">
        <v>-0.96450000000000002</v>
      </c>
      <c r="F81" s="18">
        <v>0.14532300000000001</v>
      </c>
      <c r="G81" s="18">
        <v>0.113125</v>
      </c>
      <c r="H81" s="269"/>
      <c r="I81" s="11"/>
    </row>
    <row r="82" spans="1:9" ht="15" customHeight="1">
      <c r="A82" s="20">
        <v>90</v>
      </c>
      <c r="B82" s="18">
        <v>0.16286</v>
      </c>
      <c r="C82" s="18">
        <v>0.13094</v>
      </c>
      <c r="D82" s="18">
        <v>-0.89249999999999996</v>
      </c>
      <c r="E82" s="18">
        <v>-0.82989999999999997</v>
      </c>
      <c r="F82" s="18">
        <v>0.16121099999999999</v>
      </c>
      <c r="G82" s="18">
        <v>0.12809799999999999</v>
      </c>
      <c r="H82" s="269"/>
      <c r="I82" s="10"/>
    </row>
    <row r="83" spans="1:9" ht="15" customHeight="1">
      <c r="A83" s="20">
        <v>91</v>
      </c>
      <c r="B83" s="18">
        <v>0.17696000000000001</v>
      </c>
      <c r="C83" s="18">
        <v>0.14585000000000001</v>
      </c>
      <c r="D83" s="18">
        <v>-0.69879999999999998</v>
      </c>
      <c r="E83" s="18">
        <v>-0.69479999999999997</v>
      </c>
      <c r="F83" s="18">
        <v>0.178198</v>
      </c>
      <c r="G83" s="18">
        <v>0.14444399999999999</v>
      </c>
      <c r="H83" s="269"/>
      <c r="I83" s="10"/>
    </row>
    <row r="84" spans="1:9" ht="15" customHeight="1">
      <c r="A84" s="20">
        <v>92</v>
      </c>
      <c r="B84" s="18">
        <v>0.19102</v>
      </c>
      <c r="C84" s="18">
        <v>0.1613</v>
      </c>
      <c r="D84" s="18">
        <v>-0.50460000000000005</v>
      </c>
      <c r="E84" s="18">
        <v>-0.55889999999999995</v>
      </c>
      <c r="F84" s="18">
        <v>0.19583</v>
      </c>
      <c r="G84" s="18">
        <v>0.16209100000000001</v>
      </c>
      <c r="H84" s="269"/>
      <c r="I84" s="10"/>
    </row>
    <row r="85" spans="1:9" ht="15" customHeight="1">
      <c r="A85" s="20">
        <v>93</v>
      </c>
      <c r="B85" s="18">
        <v>0.20483999999999999</v>
      </c>
      <c r="C85" s="18">
        <v>0.17710000000000001</v>
      </c>
      <c r="D85" s="18">
        <v>-0.31030000000000002</v>
      </c>
      <c r="E85" s="18">
        <v>-0.42809999999999998</v>
      </c>
      <c r="F85" s="18">
        <v>0.21360499999999999</v>
      </c>
      <c r="G85" s="18">
        <v>0.180649</v>
      </c>
      <c r="H85" s="269"/>
      <c r="I85" s="10"/>
    </row>
    <row r="86" spans="1:9" ht="15" customHeight="1">
      <c r="A86" s="20">
        <v>94</v>
      </c>
      <c r="B86" s="18">
        <v>0.21823999999999999</v>
      </c>
      <c r="C86" s="18">
        <v>0.19303999999999999</v>
      </c>
      <c r="D86" s="18">
        <v>-0.11609999999999999</v>
      </c>
      <c r="E86" s="18">
        <v>-0.30640000000000001</v>
      </c>
      <c r="F86" s="18">
        <v>0.23105800000000001</v>
      </c>
      <c r="G86" s="18">
        <v>0.19967599999999999</v>
      </c>
      <c r="H86" s="269"/>
      <c r="I86" s="10"/>
    </row>
    <row r="87" spans="1:9" ht="15" customHeight="1">
      <c r="A87" s="20">
        <v>95</v>
      </c>
      <c r="B87" s="18">
        <v>0.23105999999999999</v>
      </c>
      <c r="C87" s="18">
        <v>0.20895</v>
      </c>
      <c r="D87" s="18">
        <v>0</v>
      </c>
      <c r="E87" s="18">
        <v>-0.19639999999999999</v>
      </c>
      <c r="F87" s="18">
        <v>0.24776500000000001</v>
      </c>
      <c r="G87" s="18">
        <v>0.21876599999999999</v>
      </c>
      <c r="H87" s="269"/>
      <c r="I87" s="10"/>
    </row>
    <row r="88" spans="1:9" ht="15" customHeight="1">
      <c r="A88" s="20">
        <v>96</v>
      </c>
      <c r="B88" s="18">
        <v>0.24315000000000001</v>
      </c>
      <c r="C88" s="18">
        <v>0.22467000000000001</v>
      </c>
      <c r="D88" s="18">
        <v>0</v>
      </c>
      <c r="E88" s="18">
        <v>-8.6499999999999994E-2</v>
      </c>
      <c r="F88" s="18">
        <v>0.26334099999999999</v>
      </c>
      <c r="G88" s="18">
        <v>0.23754600000000001</v>
      </c>
      <c r="H88" s="269"/>
      <c r="I88" s="10"/>
    </row>
    <row r="89" spans="1:9" ht="15" customHeight="1">
      <c r="A89" s="20">
        <v>97</v>
      </c>
      <c r="B89" s="18">
        <v>0.25436999999999999</v>
      </c>
      <c r="C89" s="18">
        <v>0.24005000000000001</v>
      </c>
      <c r="D89" s="18">
        <v>0</v>
      </c>
      <c r="E89" s="18">
        <v>0</v>
      </c>
      <c r="F89" s="18">
        <v>0.27743299999999999</v>
      </c>
      <c r="G89" s="18">
        <v>0.25567699999999999</v>
      </c>
      <c r="H89" s="269"/>
      <c r="I89" s="10"/>
    </row>
    <row r="90" spans="1:9" ht="15" customHeight="1">
      <c r="A90" s="20">
        <v>98</v>
      </c>
      <c r="B90" s="18">
        <v>0.26457999999999998</v>
      </c>
      <c r="C90" s="18">
        <v>0.25495000000000001</v>
      </c>
      <c r="D90" s="18">
        <v>0</v>
      </c>
      <c r="E90" s="18">
        <v>0</v>
      </c>
      <c r="F90" s="18">
        <v>0.28971599999999997</v>
      </c>
      <c r="G90" s="18">
        <v>0.27285300000000001</v>
      </c>
      <c r="H90" s="269"/>
      <c r="I90" s="10"/>
    </row>
    <row r="91" spans="1:9" ht="15" customHeight="1">
      <c r="A91" s="20">
        <v>99</v>
      </c>
      <c r="B91" s="18">
        <v>0.27366000000000001</v>
      </c>
      <c r="C91" s="18">
        <v>0.26924999999999999</v>
      </c>
      <c r="D91" s="18">
        <v>0</v>
      </c>
      <c r="E91" s="18">
        <v>0</v>
      </c>
      <c r="F91" s="18">
        <v>0.29988500000000001</v>
      </c>
      <c r="G91" s="18">
        <v>0.288798</v>
      </c>
      <c r="H91" s="269"/>
      <c r="I91" s="10"/>
    </row>
    <row r="92" spans="1:9" ht="15" customHeight="1">
      <c r="A92" s="20">
        <v>100</v>
      </c>
      <c r="B92" s="18">
        <v>0.28205000000000002</v>
      </c>
      <c r="C92" s="18">
        <v>0.28281000000000001</v>
      </c>
      <c r="D92" s="18">
        <v>0</v>
      </c>
      <c r="E92" s="18">
        <v>0</v>
      </c>
      <c r="F92" s="18">
        <v>0.31254900000000002</v>
      </c>
      <c r="G92" s="18">
        <v>0.303263</v>
      </c>
      <c r="H92" s="269"/>
      <c r="I92" s="10"/>
    </row>
    <row r="93" spans="1:9" ht="15" customHeight="1">
      <c r="A93" s="20">
        <v>101</v>
      </c>
      <c r="B93" s="18">
        <v>0.29175000000000001</v>
      </c>
      <c r="C93" s="18">
        <v>0.29554999999999998</v>
      </c>
      <c r="D93" s="18">
        <v>0</v>
      </c>
      <c r="E93" s="18">
        <v>0</v>
      </c>
      <c r="F93" s="18">
        <v>0.32461299999999998</v>
      </c>
      <c r="G93" s="18">
        <v>0.318797</v>
      </c>
      <c r="H93" s="269"/>
      <c r="I93" s="10"/>
    </row>
    <row r="94" spans="1:9" ht="15" customHeight="1">
      <c r="A94" s="20">
        <v>102</v>
      </c>
      <c r="B94" s="18">
        <v>0.30020000000000002</v>
      </c>
      <c r="C94" s="18">
        <v>0.30735000000000001</v>
      </c>
      <c r="D94" s="18">
        <v>0</v>
      </c>
      <c r="E94" s="18">
        <v>0</v>
      </c>
      <c r="F94" s="18">
        <v>0.33625100000000002</v>
      </c>
      <c r="G94" s="18">
        <v>0.33381899999999998</v>
      </c>
      <c r="H94" s="269"/>
      <c r="I94" s="10"/>
    </row>
    <row r="95" spans="1:9" ht="15" customHeight="1">
      <c r="A95" s="20">
        <v>103</v>
      </c>
      <c r="B95" s="18">
        <v>0.30768000000000001</v>
      </c>
      <c r="C95" s="18">
        <v>0.31816</v>
      </c>
      <c r="D95" s="18">
        <v>0</v>
      </c>
      <c r="E95" s="18">
        <v>0</v>
      </c>
      <c r="F95" s="18">
        <v>0.347854</v>
      </c>
      <c r="G95" s="18">
        <v>0.34840599999999999</v>
      </c>
      <c r="H95" s="269"/>
      <c r="I95" s="10"/>
    </row>
    <row r="96" spans="1:9" ht="15" customHeight="1">
      <c r="A96" s="20">
        <v>104</v>
      </c>
      <c r="B96" s="18">
        <v>0.31442999999999999</v>
      </c>
      <c r="C96" s="18">
        <v>0.32800000000000001</v>
      </c>
      <c r="D96" s="18">
        <v>0</v>
      </c>
      <c r="E96" s="18">
        <v>0</v>
      </c>
      <c r="F96" s="18">
        <v>0.36042099999999999</v>
      </c>
      <c r="G96" s="18">
        <v>0.36254700000000001</v>
      </c>
      <c r="H96" s="269"/>
      <c r="I96" s="10"/>
    </row>
    <row r="97" spans="1:9" ht="15" customHeight="1">
      <c r="A97" s="20">
        <v>105</v>
      </c>
      <c r="B97" s="18">
        <v>0.32068999999999998</v>
      </c>
      <c r="C97" s="18">
        <v>0.33690999999999999</v>
      </c>
      <c r="D97" s="18">
        <v>0</v>
      </c>
      <c r="E97" s="18">
        <v>0</v>
      </c>
      <c r="F97" s="18">
        <v>0.372475</v>
      </c>
      <c r="G97" s="18">
        <v>0.37623600000000001</v>
      </c>
      <c r="H97" s="269"/>
      <c r="I97" s="10"/>
    </row>
    <row r="98" spans="1:9" ht="15" customHeight="1">
      <c r="A98" s="20">
        <v>106</v>
      </c>
      <c r="B98" s="18">
        <v>0.3261</v>
      </c>
      <c r="C98" s="18">
        <v>0.34493000000000001</v>
      </c>
      <c r="D98" s="18">
        <v>0</v>
      </c>
      <c r="E98" s="18">
        <v>0</v>
      </c>
      <c r="F98" s="18">
        <v>0.38412299999999999</v>
      </c>
      <c r="G98" s="18">
        <v>0.38947100000000001</v>
      </c>
      <c r="H98" s="269"/>
      <c r="I98" s="10"/>
    </row>
    <row r="99" spans="1:9" ht="15" customHeight="1">
      <c r="A99" s="20">
        <v>107</v>
      </c>
      <c r="B99" s="18">
        <v>0.33110000000000001</v>
      </c>
      <c r="C99" s="18">
        <v>0.35210000000000002</v>
      </c>
      <c r="D99" s="18">
        <v>0</v>
      </c>
      <c r="E99" s="18">
        <v>0</v>
      </c>
      <c r="F99" s="18">
        <v>0.39536300000000002</v>
      </c>
      <c r="G99" s="18">
        <v>0.40224799999999999</v>
      </c>
      <c r="H99" s="269"/>
      <c r="I99" s="10"/>
    </row>
    <row r="100" spans="1:9" ht="15" customHeight="1">
      <c r="A100" s="20">
        <v>108</v>
      </c>
      <c r="B100" s="18">
        <v>0.33656999999999998</v>
      </c>
      <c r="C100" s="18">
        <v>0.36016999999999999</v>
      </c>
      <c r="D100" s="18">
        <v>0</v>
      </c>
      <c r="E100" s="18">
        <v>0</v>
      </c>
      <c r="F100" s="18">
        <v>0.40620000000000001</v>
      </c>
      <c r="G100" s="18">
        <v>0.41456700000000002</v>
      </c>
      <c r="H100" s="269"/>
      <c r="I100" s="10"/>
    </row>
    <row r="101" spans="1:9" ht="15" customHeight="1">
      <c r="A101" s="20">
        <v>109</v>
      </c>
      <c r="B101" s="18">
        <v>0.34192</v>
      </c>
      <c r="C101" s="18">
        <v>0.36799999999999999</v>
      </c>
      <c r="D101" s="18">
        <v>0</v>
      </c>
      <c r="E101" s="18">
        <v>0</v>
      </c>
      <c r="F101" s="18">
        <v>0.41664099999999998</v>
      </c>
      <c r="G101" s="18">
        <v>0.42642600000000003</v>
      </c>
      <c r="H101" s="269"/>
      <c r="I101" s="10"/>
    </row>
    <row r="102" spans="1:9" ht="15" customHeight="1">
      <c r="A102" s="20">
        <v>110</v>
      </c>
      <c r="B102" s="18">
        <v>0.34192</v>
      </c>
      <c r="C102" s="18">
        <v>0.36799999999999999</v>
      </c>
      <c r="D102" s="18">
        <v>0</v>
      </c>
      <c r="E102" s="18">
        <v>0</v>
      </c>
      <c r="F102" s="71">
        <v>1</v>
      </c>
      <c r="G102" s="70">
        <v>1</v>
      </c>
      <c r="H102" s="269"/>
      <c r="I102" s="10"/>
    </row>
    <row r="103" spans="1:9" ht="15" customHeight="1">
      <c r="A103" s="20">
        <v>111</v>
      </c>
      <c r="B103" s="18">
        <v>1</v>
      </c>
      <c r="C103" s="18">
        <v>1</v>
      </c>
      <c r="D103" s="72">
        <v>0</v>
      </c>
      <c r="E103" s="18">
        <v>0</v>
      </c>
      <c r="F103" s="71">
        <v>1</v>
      </c>
      <c r="G103" s="70">
        <v>1</v>
      </c>
      <c r="H103" s="269"/>
      <c r="I103" s="10"/>
    </row>
    <row r="104" spans="1:9" ht="15" customHeight="1">
      <c r="A104" s="20">
        <v>112</v>
      </c>
      <c r="B104" s="18">
        <v>1</v>
      </c>
      <c r="C104" s="18">
        <v>1</v>
      </c>
      <c r="D104" s="72">
        <v>0</v>
      </c>
      <c r="E104" s="18">
        <v>0</v>
      </c>
      <c r="F104" s="71">
        <v>1</v>
      </c>
      <c r="G104" s="70">
        <v>1</v>
      </c>
      <c r="H104" s="269"/>
      <c r="I104" s="10"/>
    </row>
    <row r="105" spans="1:9" ht="15" customHeight="1">
      <c r="A105" s="20">
        <v>113</v>
      </c>
      <c r="B105" s="18">
        <v>1</v>
      </c>
      <c r="C105" s="18">
        <v>1</v>
      </c>
      <c r="D105" s="72">
        <v>0</v>
      </c>
      <c r="E105" s="18">
        <v>0</v>
      </c>
      <c r="F105" s="71">
        <v>1</v>
      </c>
      <c r="G105" s="70">
        <v>1</v>
      </c>
      <c r="H105" s="269"/>
      <c r="I105" s="10"/>
    </row>
    <row r="106" spans="1:9" ht="15" customHeight="1">
      <c r="A106" s="20">
        <v>114</v>
      </c>
      <c r="B106" s="18">
        <v>1</v>
      </c>
      <c r="C106" s="18">
        <v>1</v>
      </c>
      <c r="D106" s="72">
        <v>0</v>
      </c>
      <c r="E106" s="18">
        <v>0</v>
      </c>
      <c r="F106" s="71">
        <v>1</v>
      </c>
      <c r="G106" s="70">
        <v>1</v>
      </c>
      <c r="H106" s="269"/>
      <c r="I106" s="10"/>
    </row>
    <row r="107" spans="1:9" ht="15" customHeight="1">
      <c r="A107" s="20">
        <v>115</v>
      </c>
      <c r="B107" s="18">
        <v>1</v>
      </c>
      <c r="C107" s="18">
        <v>1</v>
      </c>
      <c r="D107" s="72">
        <v>0</v>
      </c>
      <c r="E107" s="18">
        <v>0</v>
      </c>
      <c r="F107" s="71">
        <v>1</v>
      </c>
      <c r="G107" s="70">
        <v>1</v>
      </c>
      <c r="H107" s="269"/>
      <c r="I107" s="10"/>
    </row>
    <row r="108" spans="1:9" ht="15" customHeight="1">
      <c r="A108" s="20">
        <v>116</v>
      </c>
      <c r="B108" s="18">
        <v>1</v>
      </c>
      <c r="C108" s="18">
        <v>1</v>
      </c>
      <c r="D108" s="72">
        <v>0</v>
      </c>
      <c r="E108" s="18">
        <v>0</v>
      </c>
      <c r="F108" s="71">
        <v>1</v>
      </c>
      <c r="G108" s="70">
        <v>1</v>
      </c>
      <c r="H108" s="269"/>
      <c r="I108" s="10"/>
    </row>
    <row r="109" spans="1:9" ht="15" customHeight="1">
      <c r="A109" s="20">
        <v>117</v>
      </c>
      <c r="B109" s="18">
        <v>1</v>
      </c>
      <c r="C109" s="18">
        <v>1</v>
      </c>
      <c r="D109" s="72">
        <v>0</v>
      </c>
      <c r="E109" s="18">
        <v>0</v>
      </c>
      <c r="F109" s="71">
        <v>1</v>
      </c>
      <c r="G109" s="70">
        <v>1</v>
      </c>
      <c r="H109" s="269"/>
      <c r="I109" s="10"/>
    </row>
    <row r="110" spans="1:9" ht="15" customHeight="1">
      <c r="A110" s="20">
        <v>118</v>
      </c>
      <c r="B110" s="18">
        <v>1</v>
      </c>
      <c r="C110" s="18">
        <v>1</v>
      </c>
      <c r="D110" s="72">
        <v>0</v>
      </c>
      <c r="E110" s="18">
        <v>0</v>
      </c>
      <c r="F110" s="71">
        <v>1</v>
      </c>
      <c r="G110" s="70">
        <v>1</v>
      </c>
      <c r="H110" s="269"/>
      <c r="I110" s="10"/>
    </row>
    <row r="111" spans="1:9" ht="15" customHeight="1">
      <c r="A111" s="20">
        <v>119</v>
      </c>
      <c r="B111" s="18">
        <v>1</v>
      </c>
      <c r="C111" s="18">
        <v>1</v>
      </c>
      <c r="D111" s="72">
        <v>0</v>
      </c>
      <c r="E111" s="18">
        <v>0</v>
      </c>
      <c r="F111" s="71">
        <v>1</v>
      </c>
      <c r="G111" s="70">
        <v>1</v>
      </c>
      <c r="H111" s="269"/>
      <c r="I111" s="10"/>
    </row>
    <row r="112" spans="1:9" ht="15" customHeight="1">
      <c r="A112" s="20">
        <v>120</v>
      </c>
      <c r="B112" s="18">
        <v>1</v>
      </c>
      <c r="C112" s="18">
        <v>1</v>
      </c>
      <c r="D112" s="72">
        <v>0</v>
      </c>
      <c r="E112" s="18">
        <v>0</v>
      </c>
      <c r="F112" s="71">
        <v>1</v>
      </c>
      <c r="G112" s="70">
        <v>1</v>
      </c>
      <c r="H112" s="269"/>
      <c r="I112" s="10"/>
    </row>
    <row r="113" spans="1:9" ht="15" customHeight="1">
      <c r="A113" s="20">
        <v>121</v>
      </c>
      <c r="B113" s="18">
        <v>1</v>
      </c>
      <c r="C113" s="18">
        <v>1</v>
      </c>
      <c r="D113" s="72">
        <v>0</v>
      </c>
      <c r="E113" s="18">
        <v>0</v>
      </c>
      <c r="F113" s="71">
        <v>1</v>
      </c>
      <c r="G113" s="70">
        <v>1</v>
      </c>
      <c r="H113" s="269"/>
      <c r="I113" s="10"/>
    </row>
    <row r="114" spans="1:9" ht="15" customHeight="1">
      <c r="A114" s="20">
        <v>122</v>
      </c>
      <c r="B114" s="18">
        <v>1</v>
      </c>
      <c r="C114" s="18">
        <v>1</v>
      </c>
      <c r="D114" s="72">
        <v>0</v>
      </c>
      <c r="E114" s="18">
        <v>0</v>
      </c>
      <c r="F114" s="71">
        <v>1</v>
      </c>
      <c r="G114" s="70">
        <v>1</v>
      </c>
      <c r="H114" s="269"/>
      <c r="I114" s="10"/>
    </row>
    <row r="115" spans="1:9" ht="15" customHeight="1">
      <c r="A115" s="20">
        <v>123</v>
      </c>
      <c r="B115" s="18">
        <v>1</v>
      </c>
      <c r="C115" s="18">
        <v>1</v>
      </c>
      <c r="D115" s="72">
        <v>0</v>
      </c>
      <c r="E115" s="18">
        <v>0</v>
      </c>
      <c r="F115" s="71">
        <v>1</v>
      </c>
      <c r="G115" s="70">
        <v>1</v>
      </c>
      <c r="H115" s="269"/>
      <c r="I115" s="10"/>
    </row>
    <row r="116" spans="1:9" ht="15" customHeight="1">
      <c r="A116" s="20">
        <v>124</v>
      </c>
      <c r="B116" s="18">
        <v>1</v>
      </c>
      <c r="C116" s="18">
        <v>1</v>
      </c>
      <c r="D116" s="72">
        <v>0</v>
      </c>
      <c r="E116" s="18">
        <v>0</v>
      </c>
      <c r="F116" s="71">
        <v>1</v>
      </c>
      <c r="G116" s="70">
        <v>1</v>
      </c>
      <c r="H116" s="269"/>
      <c r="I116" s="10"/>
    </row>
    <row r="117" spans="1:9" ht="15" customHeight="1">
      <c r="A117" s="20">
        <v>125</v>
      </c>
      <c r="B117" s="18">
        <v>1</v>
      </c>
      <c r="C117" s="18">
        <v>1</v>
      </c>
      <c r="D117" s="72">
        <v>0</v>
      </c>
      <c r="E117" s="18">
        <v>0</v>
      </c>
      <c r="F117" s="71">
        <v>1</v>
      </c>
      <c r="G117" s="70">
        <v>1</v>
      </c>
      <c r="H117" s="269"/>
      <c r="I117" s="10"/>
    </row>
    <row r="118" spans="1:9" ht="15" customHeight="1">
      <c r="A118" s="20">
        <v>126</v>
      </c>
      <c r="B118" s="18">
        <v>1</v>
      </c>
      <c r="C118" s="18">
        <v>1</v>
      </c>
      <c r="D118" s="72">
        <v>0</v>
      </c>
      <c r="E118" s="18">
        <v>0</v>
      </c>
      <c r="F118" s="71">
        <v>1</v>
      </c>
      <c r="G118" s="70">
        <v>1</v>
      </c>
      <c r="H118" s="269"/>
      <c r="I118" s="10"/>
    </row>
    <row r="119" spans="1:9" ht="15" customHeight="1">
      <c r="A119" s="20">
        <v>127</v>
      </c>
      <c r="B119" s="18">
        <v>1</v>
      </c>
      <c r="C119" s="18">
        <v>1</v>
      </c>
      <c r="D119" s="72">
        <v>0</v>
      </c>
      <c r="E119" s="18">
        <v>0</v>
      </c>
      <c r="F119" s="71">
        <v>1</v>
      </c>
      <c r="G119" s="70">
        <v>1</v>
      </c>
      <c r="H119" s="269"/>
      <c r="I119" s="10"/>
    </row>
    <row r="120" spans="1:9" ht="15" customHeight="1">
      <c r="A120" s="20">
        <v>128</v>
      </c>
      <c r="B120" s="18">
        <v>1</v>
      </c>
      <c r="C120" s="18">
        <v>1</v>
      </c>
      <c r="D120" s="72">
        <v>0</v>
      </c>
      <c r="E120" s="18">
        <v>0</v>
      </c>
      <c r="F120" s="71">
        <v>1</v>
      </c>
      <c r="G120" s="70">
        <v>1</v>
      </c>
      <c r="H120" s="269"/>
      <c r="I120" s="10"/>
    </row>
    <row r="121" spans="1:9" ht="15" customHeight="1">
      <c r="A121" s="20">
        <v>129</v>
      </c>
      <c r="B121" s="18">
        <v>1</v>
      </c>
      <c r="C121" s="18">
        <v>1</v>
      </c>
      <c r="D121" s="72">
        <v>0</v>
      </c>
      <c r="E121" s="18">
        <v>0</v>
      </c>
      <c r="F121" s="71">
        <v>1</v>
      </c>
      <c r="G121" s="70">
        <v>1</v>
      </c>
      <c r="H121" s="269"/>
      <c r="I121" s="10"/>
    </row>
    <row r="122" spans="1:9" ht="15" customHeight="1">
      <c r="A122" s="20">
        <v>130</v>
      </c>
      <c r="B122" s="18">
        <v>1</v>
      </c>
      <c r="C122" s="18">
        <v>1</v>
      </c>
      <c r="D122" s="72">
        <v>0</v>
      </c>
      <c r="E122" s="18">
        <v>0</v>
      </c>
      <c r="F122" s="71">
        <v>1</v>
      </c>
      <c r="G122" s="70">
        <v>1</v>
      </c>
      <c r="H122" s="269"/>
      <c r="I122" s="10"/>
    </row>
    <row r="123" spans="1:9" ht="15" customHeight="1">
      <c r="D123" s="4"/>
      <c r="E123" s="4"/>
      <c r="I123" s="10"/>
    </row>
    <row r="124" spans="1:9" ht="15" customHeight="1">
      <c r="I124" s="10"/>
    </row>
    <row r="125" spans="1:9" ht="15" customHeight="1">
      <c r="I125" s="10"/>
    </row>
    <row r="126" spans="1:9" ht="15" customHeight="1">
      <c r="I126" s="10"/>
    </row>
    <row r="127" spans="1:9" ht="15" customHeight="1">
      <c r="I127" s="10"/>
    </row>
    <row r="128" spans="1:9" ht="15" customHeight="1">
      <c r="I128" s="10"/>
    </row>
    <row r="129" spans="9:9" ht="15" customHeight="1">
      <c r="I129" s="10"/>
    </row>
    <row r="130" spans="9:9" ht="15" customHeight="1">
      <c r="I130" s="10"/>
    </row>
    <row r="131" spans="9:9" ht="15" customHeight="1">
      <c r="I131" s="10"/>
    </row>
    <row r="132" spans="9:9" ht="15" customHeight="1">
      <c r="I132" s="10"/>
    </row>
    <row r="133" spans="9:9" ht="15" customHeight="1">
      <c r="I133" s="10"/>
    </row>
    <row r="134" spans="9:9" ht="15" customHeight="1">
      <c r="I134" s="10"/>
    </row>
    <row r="135" spans="9:9" ht="15" customHeight="1">
      <c r="I135" s="10"/>
    </row>
    <row r="136" spans="9:9" ht="15" customHeight="1">
      <c r="I136" s="10"/>
    </row>
    <row r="171" spans="9:9" ht="15" customHeight="1">
      <c r="I171" t="s">
        <v>57</v>
      </c>
    </row>
    <row r="179" spans="9:15" ht="15" customHeight="1">
      <c r="I179" s="4"/>
      <c r="J179" s="4"/>
      <c r="K179" s="4"/>
      <c r="L179" s="4"/>
      <c r="M179" s="4"/>
      <c r="N179" s="4"/>
      <c r="O179" s="4"/>
    </row>
    <row r="180" spans="9:15" ht="15" customHeight="1">
      <c r="M180" s="4"/>
      <c r="N180" s="4"/>
      <c r="O180" s="4"/>
    </row>
  </sheetData>
  <mergeCells count="3">
    <mergeCell ref="D20:E20"/>
    <mergeCell ref="D19:G19"/>
    <mergeCell ref="B19:C19"/>
  </mergeCells>
  <dataValidations count="5">
    <dataValidation type="list" allowBlank="1" showInputMessage="1" showErrorMessage="1" sqref="K16:K17 K19">
      <formula1>"TRUE, FALSE"</formula1>
    </dataValidation>
    <dataValidation type="list" allowBlank="1" showInputMessage="1" showErrorMessage="1" sqref="K3">
      <formula1>"Yes,No"</formula1>
    </dataValidation>
    <dataValidation type="decimal" allowBlank="1" showInputMessage="1" showErrorMessage="1" sqref="B10:B11">
      <formula1>0.01</formula1>
      <formula2>0.99</formula2>
    </dataValidation>
    <dataValidation type="list" allowBlank="1" showInputMessage="1" showErrorMessage="1" sqref="K33">
      <formula1>"Down, Up, Round"</formula1>
    </dataValidation>
    <dataValidation type="list" allowBlank="1" showInputMessage="1" showErrorMessage="1" sqref="K34">
      <formula1>"Longest, Shortest"</formula1>
    </dataValidation>
  </dataValidations>
  <hyperlinks>
    <hyperlink ref="T11" r:id="rId1"/>
    <hyperlink ref="T9" r:id="rId2"/>
    <hyperlink ref="T18"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18786" r:id="rId7" name="Button 2">
              <controlPr defaultSize="0" print="0" autoFill="0" autoPict="0" macro="[0]!mcrSet_All_Values_and_Save_XLSX">
                <anchor moveWithCells="1" sizeWithCells="1">
                  <from>
                    <xdr:col>5</xdr:col>
                    <xdr:colOff>314325</xdr:colOff>
                    <xdr:row>3</xdr:row>
                    <xdr:rowOff>28575</xdr:rowOff>
                  </from>
                  <to>
                    <xdr:col>6</xdr:col>
                    <xdr:colOff>1666875</xdr:colOff>
                    <xdr:row>5</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92D050"/>
  </sheetPr>
  <dimension ref="A1:DR78"/>
  <sheetViews>
    <sheetView workbookViewId="0">
      <selection activeCell="N4" sqref="N4:N37"/>
    </sheetView>
    <sheetView workbookViewId="1"/>
  </sheetViews>
  <sheetFormatPr defaultRowHeight="15.75"/>
  <cols>
    <col min="1" max="1" width="10.875" bestFit="1" customWidth="1"/>
    <col min="2" max="2" width="14.125" bestFit="1" customWidth="1"/>
    <col min="3" max="3" width="11.5" bestFit="1" customWidth="1"/>
    <col min="4" max="4" width="20" bestFit="1" customWidth="1"/>
    <col min="5" max="5" width="11.875" bestFit="1" customWidth="1"/>
    <col min="6" max="7" width="11.875" style="489" customWidth="1"/>
    <col min="8" max="8" width="15.75" style="53" customWidth="1"/>
    <col min="9" max="9" width="15.75" style="377" customWidth="1"/>
    <col min="10" max="10" width="14.125" bestFit="1" customWidth="1"/>
    <col min="11" max="11" width="11.5" bestFit="1" customWidth="1"/>
    <col min="12" max="12" width="20" bestFit="1" customWidth="1"/>
    <col min="13" max="13" width="18.75" bestFit="1" customWidth="1"/>
    <col min="14" max="14" width="18.75" style="489" customWidth="1"/>
    <col min="15" max="15" width="5.75" customWidth="1"/>
    <col min="16" max="16" width="12.375" bestFit="1" customWidth="1"/>
    <col min="24" max="24" width="10.875" customWidth="1"/>
    <col min="27" max="27" width="13.125" customWidth="1"/>
    <col min="28" max="28" width="12.5" customWidth="1"/>
    <col min="88" max="110" width="9" style="430"/>
  </cols>
  <sheetData>
    <row r="1" spans="1:122">
      <c r="B1" s="111"/>
      <c r="C1" s="112" t="s">
        <v>181</v>
      </c>
      <c r="D1" s="111"/>
      <c r="E1" s="111" t="s">
        <v>303</v>
      </c>
      <c r="F1" s="493"/>
      <c r="G1" s="493"/>
      <c r="J1" s="111"/>
      <c r="K1" s="111"/>
      <c r="L1" s="112" t="s">
        <v>180</v>
      </c>
      <c r="M1" s="111"/>
      <c r="N1" s="493"/>
      <c r="O1" s="111"/>
      <c r="R1">
        <f>'Test Sheet'!P1AgeValn</f>
        <v>66.811475409836063</v>
      </c>
      <c r="S1" t="s">
        <v>399</v>
      </c>
      <c r="AJ1" s="489"/>
      <c r="AK1" s="493"/>
      <c r="AL1" s="494"/>
      <c r="AM1" s="493"/>
      <c r="AN1" s="493"/>
      <c r="AO1" s="491"/>
      <c r="AP1" s="489"/>
      <c r="AQ1" s="493"/>
      <c r="AR1" s="493"/>
      <c r="AS1" s="494"/>
      <c r="AT1" s="493"/>
      <c r="AU1" s="493"/>
      <c r="AV1" s="489"/>
      <c r="AW1" s="489"/>
      <c r="AX1" s="489"/>
      <c r="AY1" s="489"/>
      <c r="AZ1" s="489"/>
      <c r="BA1" s="489"/>
      <c r="BO1" s="489"/>
      <c r="BP1" s="493"/>
      <c r="BQ1" s="494"/>
      <c r="BR1" s="493"/>
      <c r="BS1" s="493"/>
      <c r="BT1" s="491"/>
      <c r="BU1" s="489"/>
      <c r="BV1" s="493"/>
      <c r="BW1" s="493"/>
      <c r="BX1" s="494"/>
      <c r="BY1" s="493"/>
      <c r="BZ1" s="493"/>
      <c r="CA1" s="489"/>
      <c r="CB1" s="489"/>
      <c r="CC1" s="489"/>
      <c r="CD1" s="489"/>
      <c r="CE1" s="489"/>
      <c r="CF1" s="489"/>
      <c r="CK1" s="430" t="s">
        <v>511</v>
      </c>
      <c r="CL1" s="489"/>
      <c r="CM1" s="493"/>
      <c r="CN1" s="494" t="s">
        <v>181</v>
      </c>
      <c r="CO1" s="493"/>
      <c r="CP1" s="493" t="s">
        <v>303</v>
      </c>
      <c r="CQ1" s="491"/>
      <c r="CR1" s="489"/>
      <c r="CS1" s="493"/>
      <c r="CT1" s="493"/>
      <c r="CU1" s="494" t="s">
        <v>180</v>
      </c>
      <c r="CV1" s="493"/>
      <c r="CW1" s="493"/>
      <c r="CX1" s="489"/>
      <c r="CY1" s="489"/>
      <c r="CZ1" s="489">
        <f>'Test Sheet'!P1AgeValn</f>
        <v>66.811475409836063</v>
      </c>
      <c r="DA1" s="489" t="s">
        <v>399</v>
      </c>
      <c r="DB1" s="489"/>
      <c r="DC1" s="489"/>
      <c r="DI1" t="s">
        <v>15</v>
      </c>
      <c r="DN1" t="s">
        <v>532</v>
      </c>
    </row>
    <row r="2" spans="1:122">
      <c r="A2" t="s">
        <v>175</v>
      </c>
      <c r="B2" s="4" t="s">
        <v>176</v>
      </c>
      <c r="C2" s="4" t="s">
        <v>177</v>
      </c>
      <c r="D2" s="4" t="s">
        <v>178</v>
      </c>
      <c r="E2" s="4" t="s">
        <v>179</v>
      </c>
      <c r="F2" s="682" t="s">
        <v>1162</v>
      </c>
      <c r="G2" s="682" t="s">
        <v>1258</v>
      </c>
      <c r="H2" s="406" t="s">
        <v>480</v>
      </c>
      <c r="I2" s="4"/>
      <c r="J2" s="4" t="s">
        <v>176</v>
      </c>
      <c r="K2" s="4" t="s">
        <v>177</v>
      </c>
      <c r="L2" t="s">
        <v>178</v>
      </c>
      <c r="M2" t="s">
        <v>135</v>
      </c>
      <c r="N2" s="489" t="s">
        <v>1163</v>
      </c>
      <c r="P2" t="s">
        <v>182</v>
      </c>
      <c r="R2">
        <f>'Test Sheet'!P2AgeValn</f>
        <v>66.811475409836063</v>
      </c>
      <c r="S2" t="s">
        <v>400</v>
      </c>
      <c r="U2" t="s">
        <v>300</v>
      </c>
      <c r="X2" t="s">
        <v>398</v>
      </c>
      <c r="AA2" t="s">
        <v>528</v>
      </c>
      <c r="AB2" s="241" t="s">
        <v>526</v>
      </c>
      <c r="AC2" t="s">
        <v>527</v>
      </c>
      <c r="AJ2" s="489"/>
      <c r="AK2" s="490"/>
      <c r="AL2" s="490"/>
      <c r="AM2" s="490"/>
      <c r="AN2" s="490"/>
      <c r="AO2" s="497"/>
      <c r="AP2" s="490"/>
      <c r="AQ2" s="490"/>
      <c r="AR2" s="490"/>
      <c r="AS2" s="489"/>
      <c r="AT2" s="489"/>
      <c r="AU2" s="489"/>
      <c r="AV2" s="489"/>
      <c r="AW2" s="489"/>
      <c r="AX2" s="489"/>
      <c r="AY2" s="489"/>
      <c r="AZ2" s="489"/>
      <c r="BA2" s="489"/>
      <c r="BO2" s="489"/>
      <c r="BP2" s="490"/>
      <c r="BQ2" s="490"/>
      <c r="BR2" s="490"/>
      <c r="BS2" s="490"/>
      <c r="BT2" s="497"/>
      <c r="BU2" s="490"/>
      <c r="BV2" s="490"/>
      <c r="BW2" s="490"/>
      <c r="BX2" s="489"/>
      <c r="BY2" s="489"/>
      <c r="BZ2" s="489"/>
      <c r="CA2" s="489"/>
      <c r="CB2" s="489"/>
      <c r="CC2" s="489"/>
      <c r="CD2" s="489"/>
      <c r="CE2" s="489"/>
      <c r="CF2" s="489"/>
      <c r="CL2" s="489" t="s">
        <v>175</v>
      </c>
      <c r="CM2" s="490" t="s">
        <v>176</v>
      </c>
      <c r="CN2" s="490" t="s">
        <v>177</v>
      </c>
      <c r="CO2" s="490" t="s">
        <v>178</v>
      </c>
      <c r="CP2" s="490" t="s">
        <v>179</v>
      </c>
      <c r="CQ2" s="497" t="s">
        <v>480</v>
      </c>
      <c r="CR2" s="490"/>
      <c r="CS2" s="490" t="s">
        <v>176</v>
      </c>
      <c r="CT2" s="490" t="s">
        <v>177</v>
      </c>
      <c r="CU2" s="489" t="s">
        <v>178</v>
      </c>
      <c r="CV2" s="489" t="s">
        <v>135</v>
      </c>
      <c r="CW2" s="489"/>
      <c r="CX2" s="489" t="s">
        <v>182</v>
      </c>
      <c r="CY2" s="489"/>
      <c r="CZ2" s="489">
        <f>'Test Sheet'!P2AgeValn</f>
        <v>66.811475409836063</v>
      </c>
      <c r="DA2" s="489" t="s">
        <v>400</v>
      </c>
      <c r="DB2" s="489"/>
      <c r="DC2" s="489" t="s">
        <v>300</v>
      </c>
      <c r="DI2" t="s">
        <v>529</v>
      </c>
      <c r="DJ2" t="s">
        <v>530</v>
      </c>
      <c r="DK2" t="s">
        <v>531</v>
      </c>
      <c r="DP2" t="s">
        <v>529</v>
      </c>
      <c r="DQ2" t="s">
        <v>530</v>
      </c>
      <c r="DR2" t="s">
        <v>531</v>
      </c>
    </row>
    <row r="3" spans="1:122">
      <c r="A3" s="241">
        <v>2308.3619178082195</v>
      </c>
      <c r="B3" s="375">
        <v>8750.07</v>
      </c>
      <c r="C3" s="375">
        <v>0</v>
      </c>
      <c r="D3" s="375">
        <v>43941.568082191778</v>
      </c>
      <c r="E3" s="375">
        <v>0</v>
      </c>
      <c r="F3" s="496">
        <v>15000</v>
      </c>
      <c r="G3" s="496">
        <v>0</v>
      </c>
      <c r="H3" s="406">
        <v>6.7137893742386198E-2</v>
      </c>
      <c r="I3" s="375"/>
      <c r="J3" s="375">
        <v>151062.63531047103</v>
      </c>
      <c r="K3" s="375">
        <v>0</v>
      </c>
      <c r="L3" s="241">
        <v>175000</v>
      </c>
      <c r="M3" s="241">
        <v>15000</v>
      </c>
      <c r="N3" s="495">
        <v>500000</v>
      </c>
      <c r="O3" s="241"/>
      <c r="P3" s="241">
        <v>841062.63531047106</v>
      </c>
      <c r="R3" s="82"/>
      <c r="U3">
        <v>2308</v>
      </c>
      <c r="X3">
        <f>IF(R2=0,INT(R1),INT(MIN(R1,R2)))</f>
        <v>66</v>
      </c>
      <c r="AA3" s="241">
        <v>865000</v>
      </c>
      <c r="AB3" s="241">
        <v>20713.5</v>
      </c>
      <c r="AC3" t="s">
        <v>1259</v>
      </c>
      <c r="AE3" s="241"/>
      <c r="AJ3" s="495"/>
      <c r="AK3" s="496"/>
      <c r="AL3" s="496"/>
      <c r="AM3" s="496"/>
      <c r="AN3" s="496"/>
      <c r="AO3" s="497"/>
      <c r="AP3" s="496"/>
      <c r="AQ3" s="496"/>
      <c r="AR3" s="496"/>
      <c r="AS3" s="495"/>
      <c r="AT3" s="495"/>
      <c r="AU3" s="495"/>
      <c r="AV3" s="495"/>
      <c r="AW3" s="489"/>
      <c r="AX3" s="492"/>
      <c r="AY3" s="489"/>
      <c r="AZ3" s="489"/>
      <c r="BA3" s="489"/>
      <c r="BO3" s="495"/>
      <c r="BP3" s="496"/>
      <c r="BQ3" s="496"/>
      <c r="BR3" s="496"/>
      <c r="BS3" s="496"/>
      <c r="BT3" s="497"/>
      <c r="BU3" s="496"/>
      <c r="BV3" s="496"/>
      <c r="BW3" s="496"/>
      <c r="BX3" s="495"/>
      <c r="BY3" s="495"/>
      <c r="BZ3" s="495"/>
      <c r="CA3" s="495"/>
      <c r="CB3" s="489"/>
      <c r="CC3" s="492"/>
      <c r="CD3" s="489"/>
      <c r="CE3" s="489"/>
      <c r="CF3" s="489"/>
      <c r="CL3" s="495">
        <v>7136.7863013698634</v>
      </c>
      <c r="CM3" s="496">
        <v>12000</v>
      </c>
      <c r="CN3" s="496">
        <v>0</v>
      </c>
      <c r="CO3" s="496">
        <v>28000.000499999998</v>
      </c>
      <c r="CP3" s="496">
        <v>1.7500000000000003E-4</v>
      </c>
      <c r="CQ3" s="497">
        <v>0.20835872234850297</v>
      </c>
      <c r="CR3" s="496"/>
      <c r="CS3" s="496">
        <v>210544.49857840623</v>
      </c>
      <c r="CT3" s="496">
        <v>0</v>
      </c>
      <c r="CU3" s="495">
        <v>560000.01</v>
      </c>
      <c r="CV3" s="495">
        <v>0</v>
      </c>
      <c r="CW3" s="495"/>
      <c r="CX3" s="495">
        <v>770544.51857840619</v>
      </c>
      <c r="CY3" s="489"/>
      <c r="CZ3" s="492"/>
      <c r="DA3" s="489"/>
      <c r="DB3" s="489"/>
      <c r="DC3" s="489">
        <v>7137</v>
      </c>
      <c r="DG3" t="e">
        <f>#REF!</f>
        <v>#REF!</v>
      </c>
      <c r="DH3" t="e">
        <f>#REF!</f>
        <v>#REF!</v>
      </c>
      <c r="DI3" s="241">
        <f>SUM(AJ3:AN3)</f>
        <v>0</v>
      </c>
      <c r="DJ3" s="241">
        <f>SUM(BO3:BS3)</f>
        <v>0</v>
      </c>
      <c r="DK3" s="241">
        <f>SUM(CL3:CP3)</f>
        <v>47136.786976369862</v>
      </c>
      <c r="DN3" t="e">
        <f>DG3</f>
        <v>#REF!</v>
      </c>
      <c r="DO3" t="e">
        <f>DH3</f>
        <v>#REF!</v>
      </c>
      <c r="DP3" s="241">
        <f>AV3</f>
        <v>0</v>
      </c>
      <c r="DQ3" s="241">
        <f>CA3</f>
        <v>0</v>
      </c>
      <c r="DR3" s="241">
        <f>CX3</f>
        <v>770544.51857840619</v>
      </c>
    </row>
    <row r="4" spans="1:122">
      <c r="A4" s="241">
        <v>1910.5560975609756</v>
      </c>
      <c r="B4" s="375">
        <v>8536.6536585365866</v>
      </c>
      <c r="C4" s="375">
        <v>0</v>
      </c>
      <c r="D4" s="375">
        <v>44918.64390243902</v>
      </c>
      <c r="E4" s="375">
        <v>0</v>
      </c>
      <c r="F4" s="496">
        <v>14634.146341463416</v>
      </c>
      <c r="G4" s="496">
        <v>0</v>
      </c>
      <c r="H4" s="406">
        <v>5.5589587653974738E-2</v>
      </c>
      <c r="I4" s="375"/>
      <c r="J4" s="375">
        <v>146495.36742283724</v>
      </c>
      <c r="K4" s="375">
        <v>0</v>
      </c>
      <c r="L4" s="241">
        <v>135074.5157317541</v>
      </c>
      <c r="M4" s="241">
        <v>14268.292682926831</v>
      </c>
      <c r="N4" s="495">
        <v>487804.87804878055</v>
      </c>
      <c r="O4" s="241"/>
      <c r="P4" s="241">
        <v>783643.05388629867</v>
      </c>
      <c r="R4" s="82"/>
      <c r="U4">
        <v>4219</v>
      </c>
      <c r="X4">
        <f t="shared" ref="X4:X30" si="0">IF(X3&lt;99,X3+1,"")</f>
        <v>67</v>
      </c>
      <c r="AA4" s="241">
        <v>798605.53678340954</v>
      </c>
      <c r="AB4" s="241">
        <v>19019.580297867375</v>
      </c>
      <c r="AC4" t="s">
        <v>1259</v>
      </c>
      <c r="AE4" s="241"/>
      <c r="AJ4" s="495"/>
      <c r="AK4" s="496"/>
      <c r="AL4" s="496"/>
      <c r="AM4" s="496"/>
      <c r="AN4" s="496"/>
      <c r="AO4" s="497"/>
      <c r="AP4" s="496"/>
      <c r="AQ4" s="496"/>
      <c r="AR4" s="496"/>
      <c r="AS4" s="495"/>
      <c r="AT4" s="495"/>
      <c r="AU4" s="495"/>
      <c r="AV4" s="495"/>
      <c r="AW4" s="489"/>
      <c r="AX4" s="492"/>
      <c r="AY4" s="489"/>
      <c r="AZ4" s="489"/>
      <c r="BA4" s="489"/>
      <c r="BO4" s="495"/>
      <c r="BP4" s="496"/>
      <c r="BQ4" s="496"/>
      <c r="BR4" s="496"/>
      <c r="BS4" s="496"/>
      <c r="BT4" s="497"/>
      <c r="BU4" s="496"/>
      <c r="BV4" s="496"/>
      <c r="BW4" s="496"/>
      <c r="BX4" s="495"/>
      <c r="BY4" s="495"/>
      <c r="BZ4" s="495"/>
      <c r="CA4" s="495"/>
      <c r="CB4" s="489"/>
      <c r="CC4" s="492"/>
      <c r="CD4" s="489"/>
      <c r="CE4" s="489"/>
      <c r="CF4" s="489"/>
      <c r="CL4" s="495">
        <v>2765.9560975609784</v>
      </c>
      <c r="CM4" s="496">
        <v>11707.317073170732</v>
      </c>
      <c r="CN4" s="496">
        <v>0</v>
      </c>
      <c r="CO4" s="496">
        <v>30526.726656477131</v>
      </c>
      <c r="CP4" s="496">
        <v>1.7279115853658538E-4</v>
      </c>
      <c r="CQ4" s="497">
        <v>8.0783891006478786E-2</v>
      </c>
      <c r="CR4" s="496"/>
      <c r="CS4" s="496">
        <v>189802.89869545179</v>
      </c>
      <c r="CT4" s="496">
        <v>0</v>
      </c>
      <c r="CU4" s="495">
        <v>554121.57087063766</v>
      </c>
      <c r="CV4" s="495">
        <v>0</v>
      </c>
      <c r="CW4" s="495"/>
      <c r="CX4" s="495">
        <v>743924.47943986999</v>
      </c>
      <c r="CY4" s="489"/>
      <c r="CZ4" s="492"/>
      <c r="DA4" s="489"/>
      <c r="DB4" s="489"/>
      <c r="DC4" s="489">
        <v>9903</v>
      </c>
      <c r="DG4" s="430" t="e">
        <f>#REF!</f>
        <v>#REF!</v>
      </c>
      <c r="DH4" s="430" t="e">
        <f>#REF!</f>
        <v>#REF!</v>
      </c>
      <c r="DI4" s="241">
        <f t="shared" ref="DI4:DI37" si="1">SUM(AJ4:AN4)</f>
        <v>0</v>
      </c>
      <c r="DJ4" s="241">
        <f t="shared" ref="DJ4:DJ37" si="2">SUM(BO4:BS4)</f>
        <v>0</v>
      </c>
      <c r="DK4" s="241">
        <f t="shared" ref="DK4:DK37" si="3">SUM(CL4:CP4)</f>
        <v>45000</v>
      </c>
      <c r="DN4" s="430" t="e">
        <f t="shared" ref="DN4:DN37" si="4">DG4</f>
        <v>#REF!</v>
      </c>
      <c r="DO4" s="430" t="e">
        <f t="shared" ref="DO4:DO37" si="5">DH4</f>
        <v>#REF!</v>
      </c>
      <c r="DP4" s="241">
        <f t="shared" ref="DP4:DP37" si="6">AV4</f>
        <v>0</v>
      </c>
      <c r="DQ4" s="241">
        <f t="shared" ref="DQ4:DQ37" si="7">CA4</f>
        <v>0</v>
      </c>
      <c r="DR4" s="241">
        <f t="shared" ref="DR4:DR37" si="8">CX4</f>
        <v>743924.47943986999</v>
      </c>
    </row>
    <row r="5" spans="1:122">
      <c r="A5" s="241">
        <v>6470.8400951814401</v>
      </c>
      <c r="B5" s="375">
        <v>8328.4425936942298</v>
      </c>
      <c r="C5" s="375">
        <v>0</v>
      </c>
      <c r="D5" s="375">
        <v>40923.501368233192</v>
      </c>
      <c r="E5" s="375">
        <v>0</v>
      </c>
      <c r="F5" s="496">
        <v>14277.215942891138</v>
      </c>
      <c r="G5" s="496">
        <v>0</v>
      </c>
      <c r="H5" s="406">
        <v>0.18834760195804393</v>
      </c>
      <c r="I5" s="375"/>
      <c r="J5" s="375">
        <v>142016.29913508083</v>
      </c>
      <c r="K5" s="375">
        <v>0</v>
      </c>
      <c r="L5" s="241">
        <v>93111.333988043261</v>
      </c>
      <c r="M5" s="241">
        <v>13572.278405710887</v>
      </c>
      <c r="N5" s="495">
        <v>475907.19809637131</v>
      </c>
      <c r="O5" s="241"/>
      <c r="P5" s="241">
        <v>724607.10962520633</v>
      </c>
      <c r="U5">
        <v>10690</v>
      </c>
      <c r="X5">
        <f t="shared" si="0"/>
        <v>68</v>
      </c>
      <c r="AA5" s="241">
        <v>731062.27331116993</v>
      </c>
      <c r="AB5" s="241">
        <v>17269.078704679374</v>
      </c>
      <c r="AC5" t="s">
        <v>1259</v>
      </c>
      <c r="AE5" s="241"/>
      <c r="AJ5" s="495"/>
      <c r="AK5" s="496"/>
      <c r="AL5" s="496"/>
      <c r="AM5" s="496"/>
      <c r="AN5" s="496"/>
      <c r="AO5" s="497"/>
      <c r="AP5" s="496"/>
      <c r="AQ5" s="496"/>
      <c r="AR5" s="496"/>
      <c r="AS5" s="495"/>
      <c r="AT5" s="495"/>
      <c r="AU5" s="495"/>
      <c r="AV5" s="495"/>
      <c r="AW5" s="489"/>
      <c r="AX5" s="489"/>
      <c r="AY5" s="489"/>
      <c r="AZ5" s="489"/>
      <c r="BA5" s="489"/>
      <c r="BO5" s="495"/>
      <c r="BP5" s="496"/>
      <c r="BQ5" s="496"/>
      <c r="BR5" s="496"/>
      <c r="BS5" s="496"/>
      <c r="BT5" s="497"/>
      <c r="BU5" s="496"/>
      <c r="BV5" s="496"/>
      <c r="BW5" s="496"/>
      <c r="BX5" s="495"/>
      <c r="BY5" s="495"/>
      <c r="BZ5" s="495"/>
      <c r="CA5" s="495"/>
      <c r="CB5" s="489"/>
      <c r="CC5" s="489"/>
      <c r="CD5" s="489"/>
      <c r="CE5" s="489"/>
      <c r="CF5" s="489"/>
      <c r="CL5" s="495">
        <v>4858.8400951814401</v>
      </c>
      <c r="CM5" s="496">
        <v>11421.772754312909</v>
      </c>
      <c r="CN5" s="496">
        <v>0</v>
      </c>
      <c r="CO5" s="496">
        <v>28719.386979895455</v>
      </c>
      <c r="CP5" s="496">
        <v>1.706101969623736E-4</v>
      </c>
      <c r="CQ5" s="497">
        <v>0.14196408566361246</v>
      </c>
      <c r="CR5" s="496"/>
      <c r="CS5" s="496">
        <v>170236.84728978833</v>
      </c>
      <c r="CT5" s="496">
        <v>0</v>
      </c>
      <c r="CU5" s="495">
        <v>545427.05061591323</v>
      </c>
      <c r="CV5" s="495">
        <v>0</v>
      </c>
      <c r="CW5" s="495"/>
      <c r="CX5" s="495">
        <v>715663.90765485563</v>
      </c>
      <c r="CY5" s="489"/>
      <c r="CZ5" s="489"/>
      <c r="DA5" s="489"/>
      <c r="DB5" s="489"/>
      <c r="DC5" s="489">
        <v>14762</v>
      </c>
      <c r="DG5" s="430" t="e">
        <f>#REF!</f>
        <v>#REF!</v>
      </c>
      <c r="DH5" s="430" t="e">
        <f>#REF!</f>
        <v>#REF!</v>
      </c>
      <c r="DI5" s="241">
        <f t="shared" si="1"/>
        <v>0</v>
      </c>
      <c r="DJ5" s="241">
        <f t="shared" si="2"/>
        <v>0</v>
      </c>
      <c r="DK5" s="241">
        <f t="shared" si="3"/>
        <v>45000</v>
      </c>
      <c r="DN5" s="430" t="e">
        <f t="shared" si="4"/>
        <v>#REF!</v>
      </c>
      <c r="DO5" s="430" t="e">
        <f t="shared" si="5"/>
        <v>#REF!</v>
      </c>
      <c r="DP5" s="241">
        <f t="shared" si="6"/>
        <v>0</v>
      </c>
      <c r="DQ5" s="241">
        <f t="shared" si="7"/>
        <v>0</v>
      </c>
      <c r="DR5" s="241">
        <f t="shared" si="8"/>
        <v>715663.90765485563</v>
      </c>
    </row>
    <row r="6" spans="1:122">
      <c r="A6" s="241">
        <v>11411.043995298969</v>
      </c>
      <c r="B6" s="375">
        <v>8125.3098475065653</v>
      </c>
      <c r="C6" s="375">
        <v>0</v>
      </c>
      <c r="D6" s="375">
        <v>36534.654993398231</v>
      </c>
      <c r="E6" s="375">
        <v>0</v>
      </c>
      <c r="F6" s="496">
        <v>13928.991163796234</v>
      </c>
      <c r="G6" s="496">
        <v>0</v>
      </c>
      <c r="H6" s="406">
        <v>0.33226652817557362</v>
      </c>
      <c r="I6" s="375"/>
      <c r="J6" s="375">
        <v>136462.60746553433</v>
      </c>
      <c r="K6" s="375">
        <v>0</v>
      </c>
      <c r="L6" s="241">
        <v>54094.4411962741</v>
      </c>
      <c r="M6" s="241">
        <v>12910.216044456698</v>
      </c>
      <c r="N6" s="495">
        <v>464299.70545987447</v>
      </c>
      <c r="O6" s="241"/>
      <c r="P6" s="241">
        <v>667766.97016613954</v>
      </c>
      <c r="R6" t="s">
        <v>446</v>
      </c>
      <c r="U6">
        <v>22101</v>
      </c>
      <c r="X6">
        <f t="shared" si="0"/>
        <v>69</v>
      </c>
      <c r="AA6" s="241">
        <v>667327.03162061144</v>
      </c>
      <c r="AB6" s="241">
        <v>15623.768939933363</v>
      </c>
      <c r="AC6" t="s">
        <v>1259</v>
      </c>
      <c r="AE6" s="241"/>
      <c r="AJ6" s="495"/>
      <c r="AK6" s="496"/>
      <c r="AL6" s="496"/>
      <c r="AM6" s="496"/>
      <c r="AN6" s="496"/>
      <c r="AO6" s="497"/>
      <c r="AP6" s="496"/>
      <c r="AQ6" s="496"/>
      <c r="AR6" s="496"/>
      <c r="AS6" s="495"/>
      <c r="AT6" s="495"/>
      <c r="AU6" s="495"/>
      <c r="AV6" s="495"/>
      <c r="AW6" s="489"/>
      <c r="AX6" s="489"/>
      <c r="AY6" s="489"/>
      <c r="AZ6" s="489"/>
      <c r="BA6" s="489"/>
      <c r="BO6" s="495"/>
      <c r="BP6" s="496"/>
      <c r="BQ6" s="496"/>
      <c r="BR6" s="496"/>
      <c r="BS6" s="496"/>
      <c r="BT6" s="497"/>
      <c r="BU6" s="496"/>
      <c r="BV6" s="496"/>
      <c r="BW6" s="496"/>
      <c r="BX6" s="495"/>
      <c r="BY6" s="495"/>
      <c r="BZ6" s="495"/>
      <c r="CA6" s="495"/>
      <c r="CB6" s="489"/>
      <c r="CC6" s="489"/>
      <c r="CD6" s="489"/>
      <c r="CE6" s="489"/>
      <c r="CF6" s="489"/>
      <c r="CL6" s="495">
        <v>6796.0439952989691</v>
      </c>
      <c r="CM6" s="496">
        <v>11143.192931036985</v>
      </c>
      <c r="CN6" s="496">
        <v>0</v>
      </c>
      <c r="CO6" s="496">
        <v>27060.762905207281</v>
      </c>
      <c r="CP6" s="496">
        <v>1.6845676337876316E-4</v>
      </c>
      <c r="CQ6" s="497">
        <v>0.19863897512985915</v>
      </c>
      <c r="CR6" s="496"/>
      <c r="CS6" s="496">
        <v>141984.09394140248</v>
      </c>
      <c r="CT6" s="496">
        <v>0</v>
      </c>
      <c r="CU6" s="495">
        <v>538224.2184397137</v>
      </c>
      <c r="CV6" s="495">
        <v>0</v>
      </c>
      <c r="CW6" s="495"/>
      <c r="CX6" s="495">
        <v>680208.32200721698</v>
      </c>
      <c r="CY6" s="489"/>
      <c r="CZ6" s="489" t="s">
        <v>446</v>
      </c>
      <c r="DA6" s="489"/>
      <c r="DB6" s="489"/>
      <c r="DC6" s="489">
        <v>21558</v>
      </c>
      <c r="DG6" s="430" t="e">
        <f>#REF!</f>
        <v>#REF!</v>
      </c>
      <c r="DH6" s="430" t="e">
        <f>#REF!</f>
        <v>#REF!</v>
      </c>
      <c r="DI6" s="241">
        <f t="shared" si="1"/>
        <v>0</v>
      </c>
      <c r="DJ6" s="241">
        <f t="shared" si="2"/>
        <v>0</v>
      </c>
      <c r="DK6" s="241">
        <f t="shared" si="3"/>
        <v>44999.999999999993</v>
      </c>
      <c r="DN6" s="430" t="e">
        <f t="shared" si="4"/>
        <v>#REF!</v>
      </c>
      <c r="DO6" s="430" t="e">
        <f t="shared" si="5"/>
        <v>#REF!</v>
      </c>
      <c r="DP6" s="241">
        <f t="shared" si="6"/>
        <v>0</v>
      </c>
      <c r="DQ6" s="241">
        <f t="shared" si="7"/>
        <v>0</v>
      </c>
      <c r="DR6" s="241">
        <f t="shared" si="8"/>
        <v>680208.32200721698</v>
      </c>
    </row>
    <row r="7" spans="1:122">
      <c r="A7" s="241">
        <v>16039.559995413627</v>
      </c>
      <c r="B7" s="375">
        <v>7927.1315585429911</v>
      </c>
      <c r="C7" s="375">
        <v>0</v>
      </c>
      <c r="D7" s="375">
        <v>18500.029479479352</v>
      </c>
      <c r="E7" s="375">
        <v>0</v>
      </c>
      <c r="F7" s="496">
        <v>13589.259671996328</v>
      </c>
      <c r="G7" s="496">
        <v>13944.02</v>
      </c>
      <c r="H7" s="406">
        <v>0.46720939004654816</v>
      </c>
      <c r="I7" s="375"/>
      <c r="J7" s="375">
        <v>131210.03046502947</v>
      </c>
      <c r="K7" s="375">
        <v>0</v>
      </c>
      <c r="L7" s="241">
        <v>18500.029479479352</v>
      </c>
      <c r="M7" s="241">
        <v>12280.449408141734</v>
      </c>
      <c r="N7" s="495">
        <v>452975.32239987759</v>
      </c>
      <c r="O7" s="241"/>
      <c r="P7" s="241">
        <v>614965.8317525282</v>
      </c>
      <c r="R7">
        <v>25109.467475538157</v>
      </c>
      <c r="U7">
        <v>38141</v>
      </c>
      <c r="X7">
        <f t="shared" si="0"/>
        <v>70</v>
      </c>
      <c r="AA7" s="241">
        <v>607849.45610287716</v>
      </c>
      <c r="AB7" s="241">
        <v>14098.919184063263</v>
      </c>
      <c r="AC7" t="s">
        <v>1259</v>
      </c>
      <c r="AE7" s="241"/>
      <c r="AJ7" s="495"/>
      <c r="AK7" s="496"/>
      <c r="AL7" s="496"/>
      <c r="AM7" s="496"/>
      <c r="AN7" s="496"/>
      <c r="AO7" s="497"/>
      <c r="AP7" s="496"/>
      <c r="AQ7" s="496"/>
      <c r="AR7" s="496"/>
      <c r="AS7" s="495"/>
      <c r="AT7" s="495"/>
      <c r="AU7" s="495"/>
      <c r="AV7" s="495"/>
      <c r="AW7" s="489"/>
      <c r="AX7" s="489"/>
      <c r="AY7" s="489"/>
      <c r="AZ7" s="489"/>
      <c r="BA7" s="489"/>
      <c r="BO7" s="495"/>
      <c r="BP7" s="496"/>
      <c r="BQ7" s="496"/>
      <c r="BR7" s="496"/>
      <c r="BS7" s="496"/>
      <c r="BT7" s="497"/>
      <c r="BU7" s="496"/>
      <c r="BV7" s="496"/>
      <c r="BW7" s="496"/>
      <c r="BX7" s="495"/>
      <c r="BY7" s="495"/>
      <c r="BZ7" s="495"/>
      <c r="CA7" s="495"/>
      <c r="CB7" s="489"/>
      <c r="CC7" s="489"/>
      <c r="CD7" s="489"/>
      <c r="CE7" s="489"/>
      <c r="CF7" s="489"/>
      <c r="CL7" s="495">
        <v>8538.5599954136269</v>
      </c>
      <c r="CM7" s="496">
        <v>10871.407737597059</v>
      </c>
      <c r="CN7" s="496">
        <v>0</v>
      </c>
      <c r="CO7" s="496">
        <v>26621.058284943487</v>
      </c>
      <c r="CP7" s="496">
        <v>1.663305103287995E-4</v>
      </c>
      <c r="CQ7" s="497">
        <v>0.24966140895232905</v>
      </c>
      <c r="CR7" s="496"/>
      <c r="CS7" s="496">
        <v>119039.39989492847</v>
      </c>
      <c r="CT7" s="496">
        <v>0</v>
      </c>
      <c r="CU7" s="495">
        <v>532421.7828393362</v>
      </c>
      <c r="CV7" s="495">
        <v>0</v>
      </c>
      <c r="CW7" s="495"/>
      <c r="CX7" s="495">
        <v>651461.1922388653</v>
      </c>
      <c r="CY7" s="489"/>
      <c r="CZ7" s="489">
        <v>28000.000499999991</v>
      </c>
      <c r="DA7" s="489"/>
      <c r="DB7" s="489"/>
      <c r="DC7" s="489">
        <v>30097</v>
      </c>
      <c r="DG7" s="430" t="e">
        <f>#REF!</f>
        <v>#REF!</v>
      </c>
      <c r="DH7" s="430" t="e">
        <f>#REF!</f>
        <v>#REF!</v>
      </c>
      <c r="DI7" s="241">
        <f t="shared" si="1"/>
        <v>0</v>
      </c>
      <c r="DJ7" s="241">
        <f t="shared" si="2"/>
        <v>0</v>
      </c>
      <c r="DK7" s="241">
        <f t="shared" si="3"/>
        <v>46031.026184284681</v>
      </c>
      <c r="DN7" s="430" t="e">
        <f t="shared" si="4"/>
        <v>#REF!</v>
      </c>
      <c r="DO7" s="430" t="e">
        <f t="shared" si="5"/>
        <v>#REF!</v>
      </c>
      <c r="DP7" s="241">
        <f t="shared" si="6"/>
        <v>0</v>
      </c>
      <c r="DQ7" s="241">
        <f t="shared" si="7"/>
        <v>0</v>
      </c>
      <c r="DR7" s="241">
        <f t="shared" si="8"/>
        <v>651461.1922388653</v>
      </c>
    </row>
    <row r="8" spans="1:122">
      <c r="A8" s="241">
        <v>20356.380483330366</v>
      </c>
      <c r="B8" s="375">
        <v>7733.7868863834055</v>
      </c>
      <c r="C8" s="375">
        <v>0</v>
      </c>
      <c r="D8" s="375">
        <v>0</v>
      </c>
      <c r="E8" s="375">
        <v>0</v>
      </c>
      <c r="F8" s="496">
        <v>12849.696655606172</v>
      </c>
      <c r="G8" s="496">
        <v>29060.14</v>
      </c>
      <c r="H8" s="406">
        <v>0.59316262004899012</v>
      </c>
      <c r="I8" s="375"/>
      <c r="J8" s="375">
        <v>126246.25838073682</v>
      </c>
      <c r="K8" s="375">
        <v>0</v>
      </c>
      <c r="L8" s="241">
        <v>0</v>
      </c>
      <c r="M8" s="241">
        <v>11681.403095549453</v>
      </c>
      <c r="N8" s="495">
        <v>428323.22185353911</v>
      </c>
      <c r="O8" s="241"/>
      <c r="P8" s="241">
        <v>566250.88332982536</v>
      </c>
      <c r="R8" t="s">
        <v>447</v>
      </c>
      <c r="U8">
        <v>58497</v>
      </c>
      <c r="X8">
        <f t="shared" si="0"/>
        <v>71</v>
      </c>
      <c r="AA8" s="241">
        <v>552670.841649123</v>
      </c>
      <c r="AB8" s="241">
        <v>12696.504710240022</v>
      </c>
      <c r="AC8" t="s">
        <v>1259</v>
      </c>
      <c r="AE8" s="241"/>
      <c r="AJ8" s="495"/>
      <c r="AK8" s="496"/>
      <c r="AL8" s="496"/>
      <c r="AM8" s="496"/>
      <c r="AN8" s="496"/>
      <c r="AO8" s="497"/>
      <c r="AP8" s="496"/>
      <c r="AQ8" s="496"/>
      <c r="AR8" s="496"/>
      <c r="AS8" s="495"/>
      <c r="AT8" s="495"/>
      <c r="AU8" s="495"/>
      <c r="AV8" s="495"/>
      <c r="AW8" s="489"/>
      <c r="AX8" s="489"/>
      <c r="AY8" s="489"/>
      <c r="AZ8" s="489"/>
      <c r="BA8" s="489"/>
      <c r="BO8" s="495"/>
      <c r="BP8" s="496"/>
      <c r="BQ8" s="496"/>
      <c r="BR8" s="496"/>
      <c r="BS8" s="496"/>
      <c r="BT8" s="497"/>
      <c r="BU8" s="496"/>
      <c r="BV8" s="496"/>
      <c r="BW8" s="496"/>
      <c r="BX8" s="495"/>
      <c r="BY8" s="495"/>
      <c r="BZ8" s="495"/>
      <c r="CA8" s="495"/>
      <c r="CB8" s="489"/>
      <c r="CC8" s="489"/>
      <c r="CD8" s="489"/>
      <c r="CE8" s="489"/>
      <c r="CF8" s="489"/>
      <c r="CL8" s="495">
        <v>10203.380483330366</v>
      </c>
      <c r="CM8" s="496">
        <v>10606.251451314203</v>
      </c>
      <c r="CN8" s="496">
        <v>0</v>
      </c>
      <c r="CO8" s="496">
        <v>26341.609713938185</v>
      </c>
      <c r="CP8" s="496">
        <v>1.6423109474111283E-4</v>
      </c>
      <c r="CQ8" s="497">
        <v>0.29844585613832597</v>
      </c>
      <c r="CR8" s="496"/>
      <c r="CS8" s="496">
        <v>100112.9927323435</v>
      </c>
      <c r="CT8" s="496">
        <v>0</v>
      </c>
      <c r="CU8" s="495">
        <v>526832.86970417376</v>
      </c>
      <c r="CV8" s="495">
        <v>0</v>
      </c>
      <c r="CW8" s="495"/>
      <c r="CX8" s="495">
        <v>626945.87182115123</v>
      </c>
      <c r="CY8" s="489"/>
      <c r="CZ8" s="489" t="s">
        <v>447</v>
      </c>
      <c r="DA8" s="489"/>
      <c r="DB8" s="489"/>
      <c r="DC8" s="489">
        <v>40300</v>
      </c>
      <c r="DG8" s="430" t="e">
        <f>#REF!</f>
        <v>#REF!</v>
      </c>
      <c r="DH8" s="430" t="e">
        <f>#REF!</f>
        <v>#REF!</v>
      </c>
      <c r="DI8" s="241">
        <f t="shared" si="1"/>
        <v>0</v>
      </c>
      <c r="DJ8" s="241">
        <f t="shared" si="2"/>
        <v>0</v>
      </c>
      <c r="DK8" s="241">
        <f t="shared" si="3"/>
        <v>47151.241812813852</v>
      </c>
      <c r="DN8" s="430" t="e">
        <f t="shared" si="4"/>
        <v>#REF!</v>
      </c>
      <c r="DO8" s="430" t="e">
        <f t="shared" si="5"/>
        <v>#REF!</v>
      </c>
      <c r="DP8" s="241">
        <f t="shared" si="6"/>
        <v>0</v>
      </c>
      <c r="DQ8" s="241">
        <f t="shared" si="7"/>
        <v>0</v>
      </c>
      <c r="DR8" s="241">
        <f t="shared" si="8"/>
        <v>626945.87182115123</v>
      </c>
    </row>
    <row r="9" spans="1:122">
      <c r="A9" s="241">
        <v>24244.498032517433</v>
      </c>
      <c r="B9" s="375">
        <v>7545.1579379350296</v>
      </c>
      <c r="C9" s="375">
        <v>0</v>
      </c>
      <c r="D9" s="375">
        <v>0</v>
      </c>
      <c r="E9" s="375">
        <v>0</v>
      </c>
      <c r="F9" s="496">
        <v>11685.748737176755</v>
      </c>
      <c r="G9" s="496">
        <v>26524.6</v>
      </c>
      <c r="H9" s="406">
        <v>0.70670279459994056</v>
      </c>
      <c r="I9" s="375"/>
      <c r="J9" s="375">
        <v>121560.19515731571</v>
      </c>
      <c r="K9" s="375">
        <v>0</v>
      </c>
      <c r="L9" s="241">
        <v>0</v>
      </c>
      <c r="M9" s="241">
        <v>11111.57855430314</v>
      </c>
      <c r="N9" s="495">
        <v>389524.95790589182</v>
      </c>
      <c r="O9" s="241"/>
      <c r="P9" s="241">
        <v>522196.73161751067</v>
      </c>
      <c r="R9">
        <v>18832.100606653621</v>
      </c>
      <c r="U9">
        <v>82741</v>
      </c>
      <c r="X9">
        <f t="shared" si="0"/>
        <v>72</v>
      </c>
      <c r="AA9" s="241">
        <v>502358.05838576396</v>
      </c>
      <c r="AB9" s="241">
        <v>11435.561131941484</v>
      </c>
      <c r="AC9" t="s">
        <v>1259</v>
      </c>
      <c r="AE9" s="241"/>
      <c r="AJ9" s="495"/>
      <c r="AK9" s="496"/>
      <c r="AL9" s="496"/>
      <c r="AM9" s="496"/>
      <c r="AN9" s="496"/>
      <c r="AO9" s="497"/>
      <c r="AP9" s="496"/>
      <c r="AQ9" s="496"/>
      <c r="AR9" s="496"/>
      <c r="AS9" s="495"/>
      <c r="AT9" s="495"/>
      <c r="AU9" s="495"/>
      <c r="AV9" s="495"/>
      <c r="AW9" s="489"/>
      <c r="AX9" s="489"/>
      <c r="AY9" s="489"/>
      <c r="AZ9" s="489"/>
      <c r="BA9" s="489"/>
      <c r="BO9" s="495"/>
      <c r="BP9" s="496"/>
      <c r="BQ9" s="496"/>
      <c r="BR9" s="496"/>
      <c r="BS9" s="496"/>
      <c r="BT9" s="497"/>
      <c r="BU9" s="496"/>
      <c r="BV9" s="496"/>
      <c r="BW9" s="496"/>
      <c r="BX9" s="495"/>
      <c r="BY9" s="495"/>
      <c r="BZ9" s="495"/>
      <c r="CA9" s="495"/>
      <c r="CB9" s="489"/>
      <c r="CC9" s="489"/>
      <c r="CD9" s="489"/>
      <c r="CE9" s="489"/>
      <c r="CF9" s="489"/>
      <c r="CL9" s="495">
        <v>11829.498032517433</v>
      </c>
      <c r="CM9" s="496">
        <v>10347.562391526051</v>
      </c>
      <c r="CN9" s="496">
        <v>0</v>
      </c>
      <c r="CO9" s="496">
        <v>26065.097606297601</v>
      </c>
      <c r="CP9" s="496">
        <v>1.6215817787456341E-4</v>
      </c>
      <c r="CQ9" s="497">
        <v>0.34612961284863614</v>
      </c>
      <c r="CR9" s="496"/>
      <c r="CS9" s="496">
        <v>84254.423489902169</v>
      </c>
      <c r="CT9" s="496">
        <v>0</v>
      </c>
      <c r="CU9" s="495">
        <v>521302.62755136209</v>
      </c>
      <c r="CV9" s="495">
        <v>0</v>
      </c>
      <c r="CW9" s="495"/>
      <c r="CX9" s="495">
        <v>605557.06030744582</v>
      </c>
      <c r="CY9" s="489"/>
      <c r="CZ9" s="489">
        <v>5.0000000892857122E-4</v>
      </c>
      <c r="DA9" s="489"/>
      <c r="DB9" s="489"/>
      <c r="DC9" s="489">
        <v>52129</v>
      </c>
      <c r="DG9" s="430" t="e">
        <f>#REF!</f>
        <v>#REF!</v>
      </c>
      <c r="DH9" s="430" t="e">
        <f>#REF!</f>
        <v>#REF!</v>
      </c>
      <c r="DI9" s="241">
        <f t="shared" si="1"/>
        <v>0</v>
      </c>
      <c r="DJ9" s="241">
        <f t="shared" si="2"/>
        <v>0</v>
      </c>
      <c r="DK9" s="241">
        <f t="shared" si="3"/>
        <v>48242.158192499264</v>
      </c>
      <c r="DN9" s="430" t="e">
        <f t="shared" si="4"/>
        <v>#REF!</v>
      </c>
      <c r="DO9" s="430" t="e">
        <f t="shared" si="5"/>
        <v>#REF!</v>
      </c>
      <c r="DP9" s="241">
        <f t="shared" si="6"/>
        <v>0</v>
      </c>
      <c r="DQ9" s="241">
        <f t="shared" si="7"/>
        <v>0</v>
      </c>
      <c r="DR9" s="241">
        <f t="shared" si="8"/>
        <v>605557.06030744582</v>
      </c>
    </row>
    <row r="10" spans="1:122">
      <c r="A10" s="241">
        <v>27859.905397577983</v>
      </c>
      <c r="B10" s="375">
        <v>7361.1296955463704</v>
      </c>
      <c r="C10" s="375">
        <v>0</v>
      </c>
      <c r="D10" s="375">
        <v>0</v>
      </c>
      <c r="E10" s="375">
        <v>0</v>
      </c>
      <c r="F10" s="496">
        <v>10624.400719196836</v>
      </c>
      <c r="G10" s="496">
        <v>24154.560000000001</v>
      </c>
      <c r="H10" s="406">
        <v>0.81236280067259026</v>
      </c>
      <c r="I10" s="375"/>
      <c r="J10" s="375">
        <v>117141.92304453826</v>
      </c>
      <c r="K10" s="375">
        <v>0</v>
      </c>
      <c r="L10" s="241">
        <v>0</v>
      </c>
      <c r="M10" s="241">
        <v>10569.550332142011</v>
      </c>
      <c r="N10" s="495">
        <v>354146.69063989451</v>
      </c>
      <c r="O10" s="241"/>
      <c r="P10" s="241">
        <v>481858.1640165748</v>
      </c>
      <c r="U10">
        <v>110601</v>
      </c>
      <c r="X10">
        <f t="shared" si="0"/>
        <v>73</v>
      </c>
      <c r="AA10" s="241">
        <v>455959.93234372674</v>
      </c>
      <c r="AB10" s="241">
        <v>10285.767445796571</v>
      </c>
      <c r="AC10" t="s">
        <v>1259</v>
      </c>
      <c r="AE10" s="241"/>
      <c r="AJ10" s="495"/>
      <c r="AK10" s="496"/>
      <c r="AL10" s="496"/>
      <c r="AM10" s="496"/>
      <c r="AN10" s="496"/>
      <c r="AO10" s="497"/>
      <c r="AP10" s="496"/>
      <c r="AQ10" s="496"/>
      <c r="AR10" s="496"/>
      <c r="AS10" s="495"/>
      <c r="AT10" s="495"/>
      <c r="AU10" s="495"/>
      <c r="AV10" s="495"/>
      <c r="AW10" s="489"/>
      <c r="AX10" s="489"/>
      <c r="AY10" s="489"/>
      <c r="AZ10" s="489"/>
      <c r="BA10" s="489"/>
      <c r="BO10" s="495"/>
      <c r="BP10" s="496"/>
      <c r="BQ10" s="496"/>
      <c r="BR10" s="496"/>
      <c r="BS10" s="496"/>
      <c r="BT10" s="497"/>
      <c r="BU10" s="496"/>
      <c r="BV10" s="496"/>
      <c r="BW10" s="496"/>
      <c r="BX10" s="495"/>
      <c r="BY10" s="495"/>
      <c r="BZ10" s="495"/>
      <c r="CA10" s="495"/>
      <c r="CB10" s="489"/>
      <c r="CC10" s="489"/>
      <c r="CD10" s="489"/>
      <c r="CE10" s="489"/>
      <c r="CF10" s="489"/>
      <c r="CL10" s="495">
        <v>13416.905397577983</v>
      </c>
      <c r="CM10" s="496">
        <v>10095.182821001026</v>
      </c>
      <c r="CN10" s="496">
        <v>0</v>
      </c>
      <c r="CO10" s="496">
        <v>25791.483224706906</v>
      </c>
      <c r="CP10" s="496">
        <v>1.6011142526358571E-4</v>
      </c>
      <c r="CQ10" s="497">
        <v>0.39271015802458897</v>
      </c>
      <c r="CR10" s="496"/>
      <c r="CS10" s="496">
        <v>70751.079790957403</v>
      </c>
      <c r="CT10" s="496">
        <v>0</v>
      </c>
      <c r="CU10" s="495">
        <v>515830.43752584583</v>
      </c>
      <c r="CV10" s="495">
        <v>0</v>
      </c>
      <c r="CW10" s="495"/>
      <c r="CX10" s="495">
        <v>586581.52646602748</v>
      </c>
      <c r="CY10" s="489"/>
      <c r="CZ10" s="489"/>
      <c r="DA10" s="489"/>
      <c r="DB10" s="489"/>
      <c r="DC10" s="489">
        <v>65546</v>
      </c>
      <c r="DG10" s="430" t="e">
        <f>#REF!</f>
        <v>#REF!</v>
      </c>
      <c r="DH10" s="430" t="e">
        <f>#REF!</f>
        <v>#REF!</v>
      </c>
      <c r="DI10" s="241">
        <f t="shared" si="1"/>
        <v>0</v>
      </c>
      <c r="DJ10" s="241">
        <f t="shared" si="2"/>
        <v>0</v>
      </c>
      <c r="DK10" s="241">
        <f t="shared" si="3"/>
        <v>49303.571603397344</v>
      </c>
      <c r="DN10" s="430" t="e">
        <f t="shared" si="4"/>
        <v>#REF!</v>
      </c>
      <c r="DO10" s="430" t="e">
        <f t="shared" si="5"/>
        <v>#REF!</v>
      </c>
      <c r="DP10" s="241">
        <f t="shared" si="6"/>
        <v>0</v>
      </c>
      <c r="DQ10" s="241">
        <f t="shared" si="7"/>
        <v>0</v>
      </c>
      <c r="DR10" s="241">
        <f t="shared" si="8"/>
        <v>586581.52646602748</v>
      </c>
    </row>
    <row r="11" spans="1:122">
      <c r="A11" s="241">
        <v>31202.595509832179</v>
      </c>
      <c r="B11" s="375">
        <v>7181.5899468745083</v>
      </c>
      <c r="C11" s="375">
        <v>0</v>
      </c>
      <c r="D11" s="375">
        <v>0</v>
      </c>
      <c r="E11" s="375">
        <v>0</v>
      </c>
      <c r="F11" s="496">
        <v>9658.3062626310602</v>
      </c>
      <c r="G11" s="496">
        <v>21957.51</v>
      </c>
      <c r="H11" s="406">
        <v>0.91013194636728223</v>
      </c>
      <c r="I11" s="375"/>
      <c r="J11" s="375">
        <v>112982.67678308682</v>
      </c>
      <c r="K11" s="375">
        <v>0</v>
      </c>
      <c r="L11" s="241">
        <v>0</v>
      </c>
      <c r="M11" s="241">
        <v>10053.962511061911</v>
      </c>
      <c r="N11" s="495">
        <v>321943.54208770202</v>
      </c>
      <c r="O11" s="241"/>
      <c r="P11" s="241">
        <v>444980.18138185074</v>
      </c>
      <c r="U11">
        <v>141804</v>
      </c>
      <c r="X11">
        <f t="shared" si="0"/>
        <v>74</v>
      </c>
      <c r="AA11" s="241">
        <v>413213.9665965233</v>
      </c>
      <c r="AB11" s="241">
        <v>9239.1651178503162</v>
      </c>
      <c r="AC11" t="s">
        <v>1259</v>
      </c>
      <c r="AE11" s="241"/>
      <c r="AJ11" s="495"/>
      <c r="AK11" s="496"/>
      <c r="AL11" s="496"/>
      <c r="AM11" s="496"/>
      <c r="AN11" s="496"/>
      <c r="AO11" s="497"/>
      <c r="AP11" s="496"/>
      <c r="AQ11" s="496"/>
      <c r="AR11" s="496"/>
      <c r="AS11" s="495"/>
      <c r="AT11" s="495"/>
      <c r="AU11" s="495"/>
      <c r="AV11" s="495"/>
      <c r="AW11" s="489"/>
      <c r="AX11" s="489"/>
      <c r="AY11" s="489"/>
      <c r="AZ11" s="489"/>
      <c r="BA11" s="489"/>
      <c r="BO11" s="495"/>
      <c r="BP11" s="496"/>
      <c r="BQ11" s="496"/>
      <c r="BR11" s="496"/>
      <c r="BS11" s="496"/>
      <c r="BT11" s="497"/>
      <c r="BU11" s="496"/>
      <c r="BV11" s="496"/>
      <c r="BW11" s="496"/>
      <c r="BX11" s="495"/>
      <c r="BY11" s="495"/>
      <c r="BZ11" s="495"/>
      <c r="CA11" s="495"/>
      <c r="CB11" s="489"/>
      <c r="CC11" s="489"/>
      <c r="CD11" s="489"/>
      <c r="CE11" s="489"/>
      <c r="CF11" s="489"/>
      <c r="CL11" s="495">
        <v>14926.595509832179</v>
      </c>
      <c r="CM11" s="496">
        <v>9848.9588497570985</v>
      </c>
      <c r="CN11" s="496">
        <v>0</v>
      </c>
      <c r="CO11" s="496">
        <v>30624.866246746824</v>
      </c>
      <c r="CP11" s="496">
        <v>1.5809050666422216E-4</v>
      </c>
      <c r="CQ11" s="497">
        <v>0.43704316593944237</v>
      </c>
      <c r="CR11" s="496"/>
      <c r="CS11" s="496">
        <v>59058.425157730417</v>
      </c>
      <c r="CT11" s="496">
        <v>0</v>
      </c>
      <c r="CU11" s="495">
        <v>510415.69522128563</v>
      </c>
      <c r="CV11" s="495">
        <v>0</v>
      </c>
      <c r="CW11" s="495"/>
      <c r="CX11" s="495">
        <v>569474.12941275933</v>
      </c>
      <c r="CY11" s="489"/>
      <c r="CZ11" s="489"/>
      <c r="DA11" s="489"/>
      <c r="DB11" s="489"/>
      <c r="DC11" s="489">
        <v>80473</v>
      </c>
      <c r="DG11" s="430" t="e">
        <f>#REF!</f>
        <v>#REF!</v>
      </c>
      <c r="DH11" s="430" t="e">
        <f>#REF!</f>
        <v>#REF!</v>
      </c>
      <c r="DI11" s="241">
        <f t="shared" si="1"/>
        <v>0</v>
      </c>
      <c r="DJ11" s="241">
        <f t="shared" si="2"/>
        <v>0</v>
      </c>
      <c r="DK11" s="241">
        <f t="shared" si="3"/>
        <v>55400.420764426613</v>
      </c>
      <c r="DN11" s="430" t="e">
        <f t="shared" si="4"/>
        <v>#REF!</v>
      </c>
      <c r="DO11" s="430" t="e">
        <f t="shared" si="5"/>
        <v>#REF!</v>
      </c>
      <c r="DP11" s="241">
        <f t="shared" si="6"/>
        <v>0</v>
      </c>
      <c r="DQ11" s="241">
        <f t="shared" si="7"/>
        <v>0</v>
      </c>
      <c r="DR11" s="241">
        <f t="shared" si="8"/>
        <v>569474.12941275933</v>
      </c>
    </row>
    <row r="12" spans="1:122">
      <c r="A12" s="241">
        <v>33924.685354543428</v>
      </c>
      <c r="B12" s="375">
        <v>7006.4292164629351</v>
      </c>
      <c r="C12" s="375">
        <v>0</v>
      </c>
      <c r="D12" s="375">
        <v>0</v>
      </c>
      <c r="E12" s="375">
        <v>0</v>
      </c>
      <c r="F12" s="496">
        <v>8780.0789879327422</v>
      </c>
      <c r="G12" s="496">
        <v>20288.810000000001</v>
      </c>
      <c r="H12" s="406">
        <v>0.98984971932320964</v>
      </c>
      <c r="I12" s="375"/>
      <c r="J12" s="375">
        <v>109074.82742205361</v>
      </c>
      <c r="K12" s="375">
        <v>0</v>
      </c>
      <c r="L12" s="241">
        <v>0</v>
      </c>
      <c r="M12" s="241">
        <v>9563.5253154003549</v>
      </c>
      <c r="N12" s="495">
        <v>292669.2995977581</v>
      </c>
      <c r="O12" s="241"/>
      <c r="P12" s="241">
        <v>411307.65233521204</v>
      </c>
      <c r="U12">
        <v>175729</v>
      </c>
      <c r="X12">
        <f t="shared" si="0"/>
        <v>75</v>
      </c>
      <c r="AA12" s="241">
        <v>373856.91126529785</v>
      </c>
      <c r="AB12" s="241">
        <v>8287.7522369271392</v>
      </c>
      <c r="AC12" t="s">
        <v>1260</v>
      </c>
      <c r="AE12" s="241"/>
      <c r="AJ12" s="495"/>
      <c r="AK12" s="496"/>
      <c r="AL12" s="496"/>
      <c r="AM12" s="496"/>
      <c r="AN12" s="496"/>
      <c r="AO12" s="497"/>
      <c r="AP12" s="496"/>
      <c r="AQ12" s="496"/>
      <c r="AR12" s="496"/>
      <c r="AS12" s="495"/>
      <c r="AT12" s="495"/>
      <c r="AU12" s="495"/>
      <c r="AV12" s="495"/>
      <c r="AW12" s="489"/>
      <c r="AX12" s="489"/>
      <c r="AY12" s="489"/>
      <c r="AZ12" s="489"/>
      <c r="BA12" s="489"/>
      <c r="BO12" s="495"/>
      <c r="BP12" s="496"/>
      <c r="BQ12" s="496"/>
      <c r="BR12" s="496"/>
      <c r="BS12" s="496"/>
      <c r="BT12" s="497"/>
      <c r="BU12" s="496"/>
      <c r="BV12" s="496"/>
      <c r="BW12" s="496"/>
      <c r="BX12" s="495"/>
      <c r="BY12" s="495"/>
      <c r="BZ12" s="495"/>
      <c r="CA12" s="495"/>
      <c r="CB12" s="489"/>
      <c r="CC12" s="489"/>
      <c r="CD12" s="489"/>
      <c r="CE12" s="489"/>
      <c r="CF12" s="489"/>
      <c r="CL12" s="495">
        <v>16787.561473007001</v>
      </c>
      <c r="CM12" s="496">
        <v>9608.7403412264375</v>
      </c>
      <c r="CN12" s="496">
        <v>0</v>
      </c>
      <c r="CO12" s="496">
        <v>29990.940976365102</v>
      </c>
      <c r="CP12" s="496">
        <v>1.5609509600083841E-4</v>
      </c>
      <c r="CQ12" s="497">
        <v>0.49169015881480344</v>
      </c>
      <c r="CR12" s="496"/>
      <c r="CS12" s="496">
        <v>48751.163626373447</v>
      </c>
      <c r="CT12" s="496">
        <v>0</v>
      </c>
      <c r="CU12" s="495">
        <v>499850.27403263823</v>
      </c>
      <c r="CV12" s="495">
        <v>0</v>
      </c>
      <c r="CW12" s="495"/>
      <c r="CX12" s="495">
        <v>548601.44657873141</v>
      </c>
      <c r="CY12" s="489"/>
      <c r="CZ12" s="489"/>
      <c r="DA12" s="489"/>
      <c r="DB12" s="489"/>
      <c r="DC12" s="489">
        <v>97261</v>
      </c>
      <c r="DG12" s="430" t="e">
        <f>#REF!</f>
        <v>#REF!</v>
      </c>
      <c r="DH12" s="430" t="e">
        <f>#REF!</f>
        <v>#REF!</v>
      </c>
      <c r="DI12" s="241">
        <f t="shared" si="1"/>
        <v>0</v>
      </c>
      <c r="DJ12" s="241">
        <f t="shared" si="2"/>
        <v>0</v>
      </c>
      <c r="DK12" s="241">
        <f t="shared" si="3"/>
        <v>56387.242946693637</v>
      </c>
      <c r="DN12" s="430" t="e">
        <f t="shared" si="4"/>
        <v>#REF!</v>
      </c>
      <c r="DO12" s="430" t="e">
        <f t="shared" si="5"/>
        <v>#REF!</v>
      </c>
      <c r="DP12" s="241">
        <f t="shared" si="6"/>
        <v>0</v>
      </c>
      <c r="DQ12" s="241">
        <f t="shared" si="7"/>
        <v>0</v>
      </c>
      <c r="DR12" s="241">
        <f t="shared" si="8"/>
        <v>548601.44657873141</v>
      </c>
    </row>
    <row r="13" spans="1:122">
      <c r="A13" s="241">
        <v>34261.796559031223</v>
      </c>
      <c r="B13" s="375">
        <v>6835.5406989882285</v>
      </c>
      <c r="C13" s="375">
        <v>0</v>
      </c>
      <c r="D13" s="375">
        <v>0</v>
      </c>
      <c r="E13" s="375">
        <v>0</v>
      </c>
      <c r="F13" s="496">
        <v>7972.1118906660913</v>
      </c>
      <c r="G13" s="496">
        <v>20930.55</v>
      </c>
      <c r="H13" s="406">
        <v>1</v>
      </c>
      <c r="I13" s="375"/>
      <c r="J13" s="375">
        <v>105411.87594960644</v>
      </c>
      <c r="K13" s="375">
        <v>0</v>
      </c>
      <c r="L13" s="241">
        <v>0</v>
      </c>
      <c r="M13" s="241">
        <v>9097.0118853808272</v>
      </c>
      <c r="N13" s="495">
        <v>265737.06302220304</v>
      </c>
      <c r="O13" s="241"/>
      <c r="P13" s="241">
        <v>380245.9508571903</v>
      </c>
      <c r="U13">
        <v>209991</v>
      </c>
      <c r="X13">
        <f t="shared" si="0"/>
        <v>76</v>
      </c>
      <c r="AA13" s="241">
        <v>337285.39200371847</v>
      </c>
      <c r="AB13" s="241">
        <v>7412.454548221599</v>
      </c>
      <c r="AC13" t="s">
        <v>1263</v>
      </c>
      <c r="AE13" s="241"/>
      <c r="AJ13" s="495"/>
      <c r="AK13" s="496"/>
      <c r="AL13" s="496"/>
      <c r="AM13" s="496"/>
      <c r="AN13" s="496"/>
      <c r="AO13" s="497"/>
      <c r="AP13" s="496"/>
      <c r="AQ13" s="496"/>
      <c r="AR13" s="496"/>
      <c r="AS13" s="495"/>
      <c r="AT13" s="495"/>
      <c r="AU13" s="495"/>
      <c r="AV13" s="495"/>
      <c r="AW13" s="489"/>
      <c r="AX13" s="489"/>
      <c r="AY13" s="489"/>
      <c r="AZ13" s="489"/>
      <c r="BA13" s="489"/>
      <c r="BO13" s="495"/>
      <c r="BP13" s="496"/>
      <c r="BQ13" s="496"/>
      <c r="BR13" s="496"/>
      <c r="BS13" s="496"/>
      <c r="BT13" s="497"/>
      <c r="BU13" s="496"/>
      <c r="BV13" s="496"/>
      <c r="BW13" s="496"/>
      <c r="BX13" s="495"/>
      <c r="BY13" s="495"/>
      <c r="BZ13" s="495"/>
      <c r="CA13" s="495"/>
      <c r="CB13" s="489"/>
      <c r="CC13" s="489"/>
      <c r="CD13" s="489"/>
      <c r="CE13" s="489"/>
      <c r="CF13" s="489"/>
      <c r="CL13" s="495">
        <v>18609.796559031223</v>
      </c>
      <c r="CM13" s="496">
        <v>9374.3808207087204</v>
      </c>
      <c r="CN13" s="496">
        <v>0</v>
      </c>
      <c r="CO13" s="496">
        <v>29370.137915785574</v>
      </c>
      <c r="CP13" s="496">
        <v>1.5412487131351077E-4</v>
      </c>
      <c r="CQ13" s="497">
        <v>0.54523343143820235</v>
      </c>
      <c r="CR13" s="496"/>
      <c r="CS13" s="496">
        <v>39488.302281255237</v>
      </c>
      <c r="CT13" s="496">
        <v>0</v>
      </c>
      <c r="CU13" s="495">
        <v>489503.5548528409</v>
      </c>
      <c r="CV13" s="495">
        <v>0</v>
      </c>
      <c r="CW13" s="495"/>
      <c r="CX13" s="495">
        <v>528991.8659412316</v>
      </c>
      <c r="CY13" s="489"/>
      <c r="CZ13" s="489"/>
      <c r="DA13" s="489"/>
      <c r="DB13" s="489"/>
      <c r="DC13" s="489">
        <v>115871</v>
      </c>
      <c r="DG13" s="430" t="e">
        <f>#REF!</f>
        <v>#REF!</v>
      </c>
      <c r="DH13" s="430" t="e">
        <f>#REF!</f>
        <v>#REF!</v>
      </c>
      <c r="DI13" s="241">
        <f t="shared" si="1"/>
        <v>0</v>
      </c>
      <c r="DJ13" s="241">
        <f t="shared" si="2"/>
        <v>0</v>
      </c>
      <c r="DK13" s="241">
        <f t="shared" si="3"/>
        <v>57354.315449650392</v>
      </c>
      <c r="DN13" s="430" t="e">
        <f t="shared" si="4"/>
        <v>#REF!</v>
      </c>
      <c r="DO13" s="430" t="e">
        <f t="shared" si="5"/>
        <v>#REF!</v>
      </c>
      <c r="DP13" s="241">
        <f t="shared" si="6"/>
        <v>0</v>
      </c>
      <c r="DQ13" s="241">
        <f t="shared" si="7"/>
        <v>0</v>
      </c>
      <c r="DR13" s="241">
        <f t="shared" si="8"/>
        <v>528991.8659412316</v>
      </c>
    </row>
    <row r="14" spans="1:122">
      <c r="A14" s="241">
        <v>34251.294203932899</v>
      </c>
      <c r="B14" s="375">
        <v>6668.820194134858</v>
      </c>
      <c r="C14" s="375">
        <v>0</v>
      </c>
      <c r="D14" s="375">
        <v>0</v>
      </c>
      <c r="E14" s="375">
        <v>0</v>
      </c>
      <c r="F14" s="496">
        <v>7165.0686738205777</v>
      </c>
      <c r="G14" s="496">
        <v>21914.82</v>
      </c>
      <c r="H14" s="406">
        <v>1</v>
      </c>
      <c r="I14" s="375"/>
      <c r="J14" s="375">
        <v>102342.48566594596</v>
      </c>
      <c r="K14" s="375">
        <v>0</v>
      </c>
      <c r="L14" s="241">
        <v>0</v>
      </c>
      <c r="M14" s="241">
        <v>8653.2552080451769</v>
      </c>
      <c r="N14" s="495">
        <v>238835.62246068593</v>
      </c>
      <c r="O14" s="241"/>
      <c r="P14" s="241">
        <v>349831.36333467707</v>
      </c>
      <c r="U14">
        <v>244242</v>
      </c>
      <c r="X14">
        <f t="shared" si="0"/>
        <v>77</v>
      </c>
      <c r="AA14" s="241">
        <v>301172.26964487537</v>
      </c>
      <c r="AB14" s="241">
        <v>6538.1577299722931</v>
      </c>
      <c r="AC14" t="s">
        <v>1263</v>
      </c>
      <c r="AE14" s="241"/>
      <c r="AJ14" s="495"/>
      <c r="AK14" s="496"/>
      <c r="AL14" s="496"/>
      <c r="AM14" s="496"/>
      <c r="AN14" s="496"/>
      <c r="AO14" s="497"/>
      <c r="AP14" s="496"/>
      <c r="AQ14" s="496"/>
      <c r="AR14" s="496"/>
      <c r="AS14" s="495"/>
      <c r="AT14" s="495"/>
      <c r="AU14" s="495"/>
      <c r="AV14" s="495"/>
      <c r="AW14" s="489"/>
      <c r="AX14" s="489"/>
      <c r="AY14" s="489"/>
      <c r="AZ14" s="489"/>
      <c r="BA14" s="489"/>
      <c r="BO14" s="495"/>
      <c r="BP14" s="496"/>
      <c r="BQ14" s="496"/>
      <c r="BR14" s="496"/>
      <c r="BS14" s="496"/>
      <c r="BT14" s="497"/>
      <c r="BU14" s="496"/>
      <c r="BV14" s="496"/>
      <c r="BW14" s="496"/>
      <c r="BX14" s="495"/>
      <c r="BY14" s="495"/>
      <c r="BZ14" s="495"/>
      <c r="CA14" s="495"/>
      <c r="CB14" s="489"/>
      <c r="CC14" s="489"/>
      <c r="CD14" s="489"/>
      <c r="CE14" s="489"/>
      <c r="CF14" s="489"/>
      <c r="CL14" s="495">
        <v>20354.294203932899</v>
      </c>
      <c r="CM14" s="496">
        <v>9145.7373860572879</v>
      </c>
      <c r="CN14" s="496">
        <v>0</v>
      </c>
      <c r="CO14" s="496">
        <v>28762.176979965134</v>
      </c>
      <c r="CP14" s="496">
        <v>1.5217951470607803E-4</v>
      </c>
      <c r="CQ14" s="497">
        <v>0.59652761358585327</v>
      </c>
      <c r="CR14" s="496"/>
      <c r="CS14" s="496">
        <v>31690.945948704222</v>
      </c>
      <c r="CT14" s="496">
        <v>0</v>
      </c>
      <c r="CU14" s="495">
        <v>479371.01050495246</v>
      </c>
      <c r="CV14" s="495">
        <v>0</v>
      </c>
      <c r="CW14" s="495"/>
      <c r="CX14" s="495">
        <v>511061.96514962893</v>
      </c>
      <c r="CY14" s="489"/>
      <c r="CZ14" s="489"/>
      <c r="DA14" s="489"/>
      <c r="DB14" s="489"/>
      <c r="DC14" s="489">
        <v>136225</v>
      </c>
      <c r="DG14" s="430" t="e">
        <f>#REF!</f>
        <v>#REF!</v>
      </c>
      <c r="DH14" s="430" t="e">
        <f>#REF!</f>
        <v>#REF!</v>
      </c>
      <c r="DI14" s="241">
        <f t="shared" si="1"/>
        <v>0</v>
      </c>
      <c r="DJ14" s="241">
        <f t="shared" si="2"/>
        <v>0</v>
      </c>
      <c r="DK14" s="241">
        <f t="shared" si="3"/>
        <v>58262.208722134834</v>
      </c>
      <c r="DN14" s="430" t="e">
        <f t="shared" si="4"/>
        <v>#REF!</v>
      </c>
      <c r="DO14" s="430" t="e">
        <f t="shared" si="5"/>
        <v>#REF!</v>
      </c>
      <c r="DP14" s="241">
        <f t="shared" si="6"/>
        <v>0</v>
      </c>
      <c r="DQ14" s="241">
        <f t="shared" si="7"/>
        <v>0</v>
      </c>
      <c r="DR14" s="241">
        <f t="shared" si="8"/>
        <v>511061.96514962893</v>
      </c>
    </row>
    <row r="15" spans="1:122">
      <c r="A15" s="241">
        <v>34241.048003836971</v>
      </c>
      <c r="B15" s="375">
        <v>6506.1660430583979</v>
      </c>
      <c r="C15" s="375">
        <v>0</v>
      </c>
      <c r="D15" s="375">
        <v>0</v>
      </c>
      <c r="E15" s="375">
        <v>0</v>
      </c>
      <c r="F15" s="496">
        <v>6348.9015354347111</v>
      </c>
      <c r="G15" s="496">
        <v>22903.88</v>
      </c>
      <c r="H15" s="406">
        <v>1</v>
      </c>
      <c r="I15" s="375"/>
      <c r="J15" s="375">
        <v>99330.941084651568</v>
      </c>
      <c r="K15" s="375">
        <v>0</v>
      </c>
      <c r="L15" s="241">
        <v>0</v>
      </c>
      <c r="M15" s="241">
        <v>8231.1451978966306</v>
      </c>
      <c r="N15" s="495">
        <v>211630.05118115703</v>
      </c>
      <c r="O15" s="241"/>
      <c r="P15" s="241">
        <v>319192.13746370521</v>
      </c>
      <c r="U15">
        <v>278483</v>
      </c>
      <c r="X15">
        <f t="shared" si="0"/>
        <v>78</v>
      </c>
      <c r="AA15" s="241">
        <v>265167.2156104265</v>
      </c>
      <c r="AB15" s="241">
        <v>5653.9766633876043</v>
      </c>
      <c r="AC15" t="s">
        <v>1263</v>
      </c>
      <c r="AE15" s="241"/>
      <c r="AJ15" s="495"/>
      <c r="AK15" s="496"/>
      <c r="AL15" s="496"/>
      <c r="AM15" s="496"/>
      <c r="AN15" s="496"/>
      <c r="AO15" s="497"/>
      <c r="AP15" s="496"/>
      <c r="AQ15" s="496"/>
      <c r="AR15" s="496"/>
      <c r="AS15" s="495"/>
      <c r="AT15" s="495"/>
      <c r="AU15" s="495"/>
      <c r="AV15" s="495"/>
      <c r="AW15" s="489"/>
      <c r="AX15" s="489"/>
      <c r="AY15" s="489"/>
      <c r="AZ15" s="489"/>
      <c r="BA15" s="489"/>
      <c r="BO15" s="495"/>
      <c r="BP15" s="496"/>
      <c r="BQ15" s="496"/>
      <c r="BR15" s="496"/>
      <c r="BS15" s="496"/>
      <c r="BT15" s="497"/>
      <c r="BU15" s="496"/>
      <c r="BV15" s="496"/>
      <c r="BW15" s="496"/>
      <c r="BX15" s="495"/>
      <c r="BY15" s="495"/>
      <c r="BZ15" s="495"/>
      <c r="CA15" s="495"/>
      <c r="CB15" s="489"/>
      <c r="CC15" s="489"/>
      <c r="CD15" s="489"/>
      <c r="CE15" s="489"/>
      <c r="CF15" s="489"/>
      <c r="CL15" s="495">
        <v>22021.048003836971</v>
      </c>
      <c r="CM15" s="496">
        <v>8922.6706205436949</v>
      </c>
      <c r="CN15" s="496">
        <v>0</v>
      </c>
      <c r="CO15" s="496">
        <v>28166.798699830659</v>
      </c>
      <c r="CP15" s="496">
        <v>1.502587122948489E-4</v>
      </c>
      <c r="CQ15" s="497">
        <v>0.64556937685878024</v>
      </c>
      <c r="CR15" s="496"/>
      <c r="CS15" s="496">
        <v>23850.405189823588</v>
      </c>
      <c r="CT15" s="496">
        <v>0</v>
      </c>
      <c r="CU15" s="495">
        <v>469448.216149343</v>
      </c>
      <c r="CV15" s="495">
        <v>0</v>
      </c>
      <c r="CW15" s="495"/>
      <c r="CX15" s="495">
        <v>493298.62992537871</v>
      </c>
      <c r="CY15" s="489"/>
      <c r="CZ15" s="489"/>
      <c r="DA15" s="489"/>
      <c r="DB15" s="489"/>
      <c r="DC15" s="489">
        <v>158246</v>
      </c>
      <c r="DG15" s="430" t="e">
        <f>#REF!</f>
        <v>#REF!</v>
      </c>
      <c r="DH15" s="430" t="e">
        <f>#REF!</f>
        <v>#REF!</v>
      </c>
      <c r="DI15" s="241">
        <f t="shared" si="1"/>
        <v>0</v>
      </c>
      <c r="DJ15" s="241">
        <f t="shared" si="2"/>
        <v>0</v>
      </c>
      <c r="DK15" s="241">
        <f t="shared" si="3"/>
        <v>59110.517474470034</v>
      </c>
      <c r="DN15" s="430" t="e">
        <f t="shared" si="4"/>
        <v>#REF!</v>
      </c>
      <c r="DO15" s="430" t="e">
        <f t="shared" si="5"/>
        <v>#REF!</v>
      </c>
      <c r="DP15" s="241">
        <f t="shared" si="6"/>
        <v>0</v>
      </c>
      <c r="DQ15" s="241">
        <f t="shared" si="7"/>
        <v>0</v>
      </c>
      <c r="DR15" s="241">
        <f t="shared" si="8"/>
        <v>493298.62992537871</v>
      </c>
    </row>
    <row r="16" spans="1:122">
      <c r="A16" s="241">
        <v>34231.051711060463</v>
      </c>
      <c r="B16" s="375">
        <v>6347.4790663984368</v>
      </c>
      <c r="C16" s="375">
        <v>0</v>
      </c>
      <c r="D16" s="375">
        <v>0</v>
      </c>
      <c r="E16" s="375">
        <v>0</v>
      </c>
      <c r="F16" s="496">
        <v>5523.6928150582544</v>
      </c>
      <c r="G16" s="496">
        <v>23897.78</v>
      </c>
      <c r="H16" s="406">
        <v>1</v>
      </c>
      <c r="I16" s="375"/>
      <c r="J16" s="375">
        <v>96375.250250411977</v>
      </c>
      <c r="K16" s="375">
        <v>0</v>
      </c>
      <c r="L16" s="241">
        <v>0</v>
      </c>
      <c r="M16" s="241">
        <v>7829.6259199504548</v>
      </c>
      <c r="N16" s="495">
        <v>184123.09383527515</v>
      </c>
      <c r="O16" s="241"/>
      <c r="P16" s="241">
        <v>288327.97000563756</v>
      </c>
      <c r="U16">
        <v>312714</v>
      </c>
      <c r="X16">
        <f t="shared" si="0"/>
        <v>79</v>
      </c>
      <c r="AA16" s="241">
        <v>229258.0831800157</v>
      </c>
      <c r="AB16" s="241">
        <v>4760.0005496464428</v>
      </c>
      <c r="AC16" t="s">
        <v>1263</v>
      </c>
      <c r="AE16" s="241"/>
      <c r="AJ16" s="495"/>
      <c r="AK16" s="496"/>
      <c r="AL16" s="496"/>
      <c r="AM16" s="496"/>
      <c r="AN16" s="496"/>
      <c r="AO16" s="497"/>
      <c r="AP16" s="496"/>
      <c r="AQ16" s="496"/>
      <c r="AR16" s="496"/>
      <c r="AS16" s="495"/>
      <c r="AT16" s="495"/>
      <c r="AU16" s="495"/>
      <c r="AV16" s="495"/>
      <c r="AW16" s="489"/>
      <c r="AX16" s="489"/>
      <c r="AY16" s="489"/>
      <c r="AZ16" s="489"/>
      <c r="BA16" s="489"/>
      <c r="BO16" s="495"/>
      <c r="BP16" s="496"/>
      <c r="BQ16" s="496"/>
      <c r="BR16" s="496"/>
      <c r="BS16" s="496"/>
      <c r="BT16" s="497"/>
      <c r="BU16" s="496"/>
      <c r="BV16" s="496"/>
      <c r="BW16" s="496"/>
      <c r="BX16" s="495"/>
      <c r="BY16" s="495"/>
      <c r="BZ16" s="495"/>
      <c r="CA16" s="495"/>
      <c r="CB16" s="489"/>
      <c r="CC16" s="489"/>
      <c r="CD16" s="489"/>
      <c r="CE16" s="489"/>
      <c r="CF16" s="489"/>
      <c r="CL16" s="495">
        <v>23649.051711060463</v>
      </c>
      <c r="CM16" s="496">
        <v>8705.0445078475077</v>
      </c>
      <c r="CN16" s="496">
        <v>0</v>
      </c>
      <c r="CO16" s="496">
        <v>32181.048203242764</v>
      </c>
      <c r="CP16" s="496">
        <v>1.4836215415795661E-4</v>
      </c>
      <c r="CQ16" s="497">
        <v>0.69349918915814668</v>
      </c>
      <c r="CR16" s="496"/>
      <c r="CS16" s="496">
        <v>15959.76476162859</v>
      </c>
      <c r="CT16" s="496">
        <v>0</v>
      </c>
      <c r="CU16" s="495">
        <v>459730.8323963547</v>
      </c>
      <c r="CV16" s="495">
        <v>0</v>
      </c>
      <c r="CW16" s="495"/>
      <c r="CX16" s="495">
        <v>475690.60563582066</v>
      </c>
      <c r="CY16" s="489"/>
      <c r="CZ16" s="489"/>
      <c r="DA16" s="489"/>
      <c r="DB16" s="489"/>
      <c r="DC16" s="489">
        <v>181895</v>
      </c>
      <c r="DG16" s="430" t="e">
        <f>#REF!</f>
        <v>#REF!</v>
      </c>
      <c r="DH16" s="430" t="e">
        <f>#REF!</f>
        <v>#REF!</v>
      </c>
      <c r="DI16" s="241">
        <f t="shared" si="1"/>
        <v>0</v>
      </c>
      <c r="DJ16" s="241">
        <f t="shared" si="2"/>
        <v>0</v>
      </c>
      <c r="DK16" s="241">
        <f t="shared" si="3"/>
        <v>64535.144570512894</v>
      </c>
      <c r="DN16" s="430" t="e">
        <f t="shared" si="4"/>
        <v>#REF!</v>
      </c>
      <c r="DO16" s="430" t="e">
        <f t="shared" si="5"/>
        <v>#REF!</v>
      </c>
      <c r="DP16" s="241">
        <f t="shared" si="6"/>
        <v>0</v>
      </c>
      <c r="DQ16" s="241">
        <f t="shared" si="7"/>
        <v>0</v>
      </c>
      <c r="DR16" s="241">
        <f t="shared" si="8"/>
        <v>475690.60563582066</v>
      </c>
    </row>
    <row r="17" spans="1:122">
      <c r="A17" s="1188">
        <v>34221.299230302888</v>
      </c>
      <c r="B17" s="1188">
        <v>6192.6625038033526</v>
      </c>
      <c r="C17" s="1188">
        <v>0</v>
      </c>
      <c r="D17" s="1188">
        <v>0</v>
      </c>
      <c r="E17" s="1188">
        <v>0</v>
      </c>
      <c r="F17" s="1188">
        <v>4689.5213805446392</v>
      </c>
      <c r="G17" s="1188">
        <v>24896.52</v>
      </c>
      <c r="H17" s="540">
        <v>1</v>
      </c>
      <c r="I17" s="1188"/>
      <c r="J17" s="1188">
        <v>93473.44995028121</v>
      </c>
      <c r="K17" s="1188">
        <v>0</v>
      </c>
      <c r="L17" s="1188">
        <v>0</v>
      </c>
      <c r="M17" s="1188">
        <v>7447.6929482455544</v>
      </c>
      <c r="N17" s="1188">
        <v>156317.37935148797</v>
      </c>
      <c r="O17" s="1188"/>
      <c r="P17" s="1188">
        <v>257238.52225001474</v>
      </c>
      <c r="U17">
        <v>346935</v>
      </c>
      <c r="X17">
        <f t="shared" si="0"/>
        <v>80</v>
      </c>
      <c r="AA17" s="241">
        <v>193433.10398510826</v>
      </c>
      <c r="AB17" s="241">
        <v>3856.3148289233591</v>
      </c>
      <c r="AC17" t="s">
        <v>1263</v>
      </c>
      <c r="AE17" s="241"/>
      <c r="AJ17" s="495"/>
      <c r="AK17" s="496"/>
      <c r="AL17" s="496"/>
      <c r="AM17" s="496"/>
      <c r="AN17" s="496"/>
      <c r="AO17" s="497"/>
      <c r="AP17" s="496"/>
      <c r="AQ17" s="496"/>
      <c r="AR17" s="496"/>
      <c r="AS17" s="495"/>
      <c r="AT17" s="495"/>
      <c r="AU17" s="495"/>
      <c r="AV17" s="495"/>
      <c r="AW17" s="489"/>
      <c r="AX17" s="489"/>
      <c r="AY17" s="489"/>
      <c r="AZ17" s="489"/>
      <c r="BA17" s="489"/>
      <c r="BO17" s="495"/>
      <c r="BP17" s="496"/>
      <c r="BQ17" s="496"/>
      <c r="BR17" s="496"/>
      <c r="BS17" s="496"/>
      <c r="BT17" s="497"/>
      <c r="BU17" s="496"/>
      <c r="BV17" s="496"/>
      <c r="BW17" s="496"/>
      <c r="BX17" s="495"/>
      <c r="BY17" s="495"/>
      <c r="BZ17" s="495"/>
      <c r="CA17" s="495"/>
      <c r="CB17" s="489"/>
      <c r="CC17" s="489"/>
      <c r="CD17" s="489"/>
      <c r="CE17" s="489"/>
      <c r="CF17" s="489"/>
      <c r="CL17" s="495">
        <v>25589.299230302888</v>
      </c>
      <c r="CM17" s="496">
        <v>8492.726349119519</v>
      </c>
      <c r="CN17" s="496">
        <v>0</v>
      </c>
      <c r="CO17" s="496">
        <v>31186.578652811364</v>
      </c>
      <c r="CP17" s="496">
        <v>1.4648953428535316E-4</v>
      </c>
      <c r="CQ17" s="497">
        <v>0.75061085403155337</v>
      </c>
      <c r="CR17" s="496"/>
      <c r="CS17" s="496">
        <v>8012.0059897354095</v>
      </c>
      <c r="CT17" s="496">
        <v>0</v>
      </c>
      <c r="CU17" s="495">
        <v>445524.17271175713</v>
      </c>
      <c r="CV17" s="495">
        <v>0</v>
      </c>
      <c r="CW17" s="495"/>
      <c r="CX17" s="495">
        <v>453536.18707232305</v>
      </c>
      <c r="CY17" s="489"/>
      <c r="CZ17" s="489"/>
      <c r="DA17" s="489"/>
      <c r="DB17" s="489"/>
      <c r="DC17" s="489">
        <v>207484</v>
      </c>
      <c r="DG17" s="430" t="e">
        <f>#REF!</f>
        <v>#REF!</v>
      </c>
      <c r="DH17" s="430" t="e">
        <f>#REF!</f>
        <v>#REF!</v>
      </c>
      <c r="DI17" s="241">
        <f t="shared" si="1"/>
        <v>0</v>
      </c>
      <c r="DJ17" s="241">
        <f t="shared" si="2"/>
        <v>0</v>
      </c>
      <c r="DK17" s="241">
        <f t="shared" si="3"/>
        <v>65268.604378723307</v>
      </c>
      <c r="DN17" s="430" t="e">
        <f t="shared" si="4"/>
        <v>#REF!</v>
      </c>
      <c r="DO17" s="430" t="e">
        <f t="shared" si="5"/>
        <v>#REF!</v>
      </c>
      <c r="DP17" s="241">
        <f t="shared" si="6"/>
        <v>0</v>
      </c>
      <c r="DQ17" s="241">
        <f t="shared" si="7"/>
        <v>0</v>
      </c>
      <c r="DR17" s="241">
        <f t="shared" si="8"/>
        <v>453536.18707232305</v>
      </c>
    </row>
    <row r="18" spans="1:122">
      <c r="A18" s="241">
        <v>34211.784614929646</v>
      </c>
      <c r="B18" s="241">
        <v>6041.6219549301004</v>
      </c>
      <c r="C18" s="241">
        <v>0</v>
      </c>
      <c r="D18" s="241">
        <v>0</v>
      </c>
      <c r="E18" s="241">
        <v>0</v>
      </c>
      <c r="F18" s="495">
        <v>3846.4641761411117</v>
      </c>
      <c r="G18" s="495">
        <v>25900.13</v>
      </c>
      <c r="H18" s="53">
        <v>1</v>
      </c>
      <c r="I18" s="241"/>
      <c r="J18" s="241">
        <v>0</v>
      </c>
      <c r="K18" s="241">
        <v>0</v>
      </c>
      <c r="L18" s="241">
        <v>0</v>
      </c>
      <c r="M18" s="241">
        <v>7084.3908532091864</v>
      </c>
      <c r="N18" s="495">
        <v>128215.47253803707</v>
      </c>
      <c r="O18" s="241"/>
      <c r="P18" s="241">
        <v>135299.86339124624</v>
      </c>
      <c r="U18">
        <v>381147</v>
      </c>
      <c r="X18">
        <f t="shared" si="0"/>
        <v>81</v>
      </c>
      <c r="AA18" s="241">
        <v>157680.92374125519</v>
      </c>
      <c r="AB18" s="241">
        <v>2943.0028574862049</v>
      </c>
      <c r="AC18" t="s">
        <v>1263</v>
      </c>
      <c r="AE18" s="241"/>
      <c r="AJ18" s="495"/>
      <c r="AK18" s="495"/>
      <c r="AL18" s="495"/>
      <c r="AM18" s="495"/>
      <c r="AN18" s="495"/>
      <c r="AO18" s="491"/>
      <c r="AP18" s="495"/>
      <c r="AQ18" s="495"/>
      <c r="AR18" s="495"/>
      <c r="AS18" s="495"/>
      <c r="AT18" s="495"/>
      <c r="AU18" s="495"/>
      <c r="AV18" s="495"/>
      <c r="AW18" s="489"/>
      <c r="AX18" s="489"/>
      <c r="AY18" s="489"/>
      <c r="AZ18" s="489"/>
      <c r="BA18" s="489"/>
      <c r="BO18" s="495"/>
      <c r="BP18" s="495"/>
      <c r="BQ18" s="495"/>
      <c r="BR18" s="495"/>
      <c r="BS18" s="495"/>
      <c r="BT18" s="491"/>
      <c r="BU18" s="495"/>
      <c r="BV18" s="495"/>
      <c r="BW18" s="495"/>
      <c r="BX18" s="495"/>
      <c r="BY18" s="495"/>
      <c r="BZ18" s="495"/>
      <c r="CA18" s="495"/>
      <c r="CB18" s="489"/>
      <c r="CC18" s="489"/>
      <c r="CD18" s="489"/>
      <c r="CE18" s="489"/>
      <c r="CF18" s="489"/>
      <c r="CL18" s="495">
        <v>27451.784614929653</v>
      </c>
      <c r="CM18" s="495">
        <v>8285.5866820678239</v>
      </c>
      <c r="CN18" s="495">
        <v>0</v>
      </c>
      <c r="CO18" s="495">
        <v>30222.844159004922</v>
      </c>
      <c r="CP18" s="495">
        <v>1.4464055052943437E-4</v>
      </c>
      <c r="CQ18" s="491">
        <v>0.8054679332403355</v>
      </c>
      <c r="CR18" s="495"/>
      <c r="CS18" s="495">
        <v>0</v>
      </c>
      <c r="CT18" s="495">
        <v>0</v>
      </c>
      <c r="CU18" s="495">
        <v>431756.5359126213</v>
      </c>
      <c r="CV18" s="495">
        <v>0</v>
      </c>
      <c r="CW18" s="495"/>
      <c r="CX18" s="495">
        <v>431756.54417779564</v>
      </c>
      <c r="CY18" s="489"/>
      <c r="CZ18" s="489"/>
      <c r="DA18" s="489"/>
      <c r="DB18" s="489"/>
      <c r="DC18" s="489">
        <v>234936</v>
      </c>
      <c r="DG18" s="430" t="e">
        <f>#REF!</f>
        <v>#REF!</v>
      </c>
      <c r="DH18" s="430" t="e">
        <f>#REF!</f>
        <v>#REF!</v>
      </c>
      <c r="DI18" s="241">
        <f t="shared" si="1"/>
        <v>0</v>
      </c>
      <c r="DJ18" s="241">
        <f t="shared" si="2"/>
        <v>0</v>
      </c>
      <c r="DK18" s="241">
        <f t="shared" si="3"/>
        <v>65960.215600642943</v>
      </c>
      <c r="DN18" s="430" t="e">
        <f t="shared" si="4"/>
        <v>#REF!</v>
      </c>
      <c r="DO18" s="430" t="e">
        <f t="shared" si="5"/>
        <v>#REF!</v>
      </c>
      <c r="DP18" s="241">
        <f t="shared" si="6"/>
        <v>0</v>
      </c>
      <c r="DQ18" s="241">
        <f t="shared" si="7"/>
        <v>0</v>
      </c>
      <c r="DR18" s="241">
        <f t="shared" si="8"/>
        <v>431756.54417779564</v>
      </c>
    </row>
    <row r="19" spans="1:122">
      <c r="A19" s="241">
        <v>34202.502063346001</v>
      </c>
      <c r="B19" s="241">
        <v>5894.2653218830255</v>
      </c>
      <c r="C19" s="241">
        <v>0</v>
      </c>
      <c r="D19" s="241">
        <v>0</v>
      </c>
      <c r="E19" s="241">
        <v>0</v>
      </c>
      <c r="F19" s="495">
        <v>2994.5953913571825</v>
      </c>
      <c r="G19" s="495">
        <v>26908.639999999999</v>
      </c>
      <c r="H19" s="53">
        <v>1</v>
      </c>
      <c r="I19" s="241"/>
      <c r="J19" s="241">
        <v>0</v>
      </c>
      <c r="K19" s="241">
        <v>0</v>
      </c>
      <c r="L19" s="241">
        <v>0</v>
      </c>
      <c r="M19" s="241">
        <v>6738.8108115892255</v>
      </c>
      <c r="N19" s="495">
        <v>99819.846378572751</v>
      </c>
      <c r="O19" s="241"/>
      <c r="P19" s="241">
        <v>106558.65719016198</v>
      </c>
      <c r="U19">
        <v>415350</v>
      </c>
      <c r="X19">
        <f t="shared" si="0"/>
        <v>82</v>
      </c>
      <c r="AA19" s="241">
        <v>121990.55918387388</v>
      </c>
      <c r="AB19" s="241">
        <v>2020.1450073036146</v>
      </c>
      <c r="AC19" t="s">
        <v>1263</v>
      </c>
      <c r="AE19" s="241"/>
      <c r="AJ19" s="495"/>
      <c r="AK19" s="495"/>
      <c r="AL19" s="495"/>
      <c r="AM19" s="495"/>
      <c r="AN19" s="495"/>
      <c r="AO19" s="491"/>
      <c r="AP19" s="495"/>
      <c r="AQ19" s="495"/>
      <c r="AR19" s="495"/>
      <c r="AS19" s="495"/>
      <c r="AT19" s="495"/>
      <c r="AU19" s="495"/>
      <c r="AV19" s="495"/>
      <c r="AW19" s="489"/>
      <c r="AX19" s="489"/>
      <c r="AY19" s="489"/>
      <c r="AZ19" s="489"/>
      <c r="BA19" s="489"/>
      <c r="BO19" s="495"/>
      <c r="BP19" s="495"/>
      <c r="BQ19" s="495"/>
      <c r="BR19" s="495"/>
      <c r="BS19" s="495"/>
      <c r="BT19" s="491"/>
      <c r="BU19" s="495"/>
      <c r="BV19" s="495"/>
      <c r="BW19" s="495"/>
      <c r="BX19" s="495"/>
      <c r="BY19" s="495"/>
      <c r="BZ19" s="495"/>
      <c r="CA19" s="495"/>
      <c r="CB19" s="489"/>
      <c r="CC19" s="489"/>
      <c r="CD19" s="489"/>
      <c r="CE19" s="489"/>
      <c r="CF19" s="489"/>
      <c r="CL19" s="495">
        <v>29236.502063346001</v>
      </c>
      <c r="CM19" s="495">
        <v>8083.4992020173895</v>
      </c>
      <c r="CN19" s="495">
        <v>0</v>
      </c>
      <c r="CO19" s="495">
        <v>29288.891259009091</v>
      </c>
      <c r="CP19" s="495">
        <v>1.4281490455628847E-4</v>
      </c>
      <c r="CQ19" s="491">
        <v>0.85806736496752911</v>
      </c>
      <c r="CR19" s="495"/>
      <c r="CS19" s="495">
        <v>0</v>
      </c>
      <c r="CT19" s="495">
        <v>0</v>
      </c>
      <c r="CU19" s="495">
        <v>418414.35162696661</v>
      </c>
      <c r="CV19" s="495">
        <v>0</v>
      </c>
      <c r="CW19" s="495"/>
      <c r="CX19" s="495">
        <v>418414.35978781828</v>
      </c>
      <c r="CY19" s="489"/>
      <c r="CZ19" s="489"/>
      <c r="DA19" s="489"/>
      <c r="DB19" s="489"/>
      <c r="DC19" s="489">
        <v>264173</v>
      </c>
      <c r="DG19" s="430" t="e">
        <f>#REF!</f>
        <v>#REF!</v>
      </c>
      <c r="DH19" s="430" t="e">
        <f>#REF!</f>
        <v>#REF!</v>
      </c>
      <c r="DI19" s="241">
        <f t="shared" si="1"/>
        <v>0</v>
      </c>
      <c r="DJ19" s="241">
        <f t="shared" si="2"/>
        <v>0</v>
      </c>
      <c r="DK19" s="241">
        <f t="shared" si="3"/>
        <v>66608.892667187392</v>
      </c>
      <c r="DN19" s="430" t="e">
        <f t="shared" si="4"/>
        <v>#REF!</v>
      </c>
      <c r="DO19" s="430" t="e">
        <f t="shared" si="5"/>
        <v>#REF!</v>
      </c>
      <c r="DP19" s="241">
        <f t="shared" si="6"/>
        <v>0</v>
      </c>
      <c r="DQ19" s="241">
        <f t="shared" si="7"/>
        <v>0</v>
      </c>
      <c r="DR19" s="241">
        <f t="shared" si="8"/>
        <v>418414.35978781828</v>
      </c>
    </row>
    <row r="20" spans="1:122">
      <c r="A20" s="241">
        <v>34193.44591545951</v>
      </c>
      <c r="B20" s="241">
        <v>5750.5027530566094</v>
      </c>
      <c r="C20" s="241">
        <v>0</v>
      </c>
      <c r="D20" s="241">
        <v>0</v>
      </c>
      <c r="E20" s="241">
        <v>0</v>
      </c>
      <c r="F20" s="495">
        <v>2133.9865281533489</v>
      </c>
      <c r="G20" s="495">
        <v>27922.06</v>
      </c>
      <c r="H20" s="53">
        <v>1</v>
      </c>
      <c r="I20" s="241"/>
      <c r="J20" s="241">
        <v>0</v>
      </c>
      <c r="K20" s="241">
        <v>0</v>
      </c>
      <c r="L20" s="241">
        <v>0</v>
      </c>
      <c r="M20" s="241">
        <v>6410.0883329751168</v>
      </c>
      <c r="N20" s="495">
        <v>71132.884271778297</v>
      </c>
      <c r="O20" s="241"/>
      <c r="P20" s="241">
        <v>77542.97260475342</v>
      </c>
      <c r="U20">
        <v>449543</v>
      </c>
      <c r="X20">
        <f t="shared" si="0"/>
        <v>83</v>
      </c>
      <c r="AA20" s="241">
        <v>86351.385441969804</v>
      </c>
      <c r="AB20" s="241">
        <v>1244.8254747561202</v>
      </c>
      <c r="AC20" t="s">
        <v>1263</v>
      </c>
      <c r="AE20" s="241"/>
      <c r="AJ20" s="495"/>
      <c r="AK20" s="495"/>
      <c r="AL20" s="495"/>
      <c r="AM20" s="495"/>
      <c r="AN20" s="495"/>
      <c r="AO20" s="491"/>
      <c r="AP20" s="495"/>
      <c r="AQ20" s="495"/>
      <c r="AR20" s="495"/>
      <c r="AS20" s="495"/>
      <c r="AT20" s="495"/>
      <c r="AU20" s="495"/>
      <c r="AV20" s="495"/>
      <c r="AW20" s="489"/>
      <c r="AX20" s="489"/>
      <c r="AY20" s="489"/>
      <c r="AZ20" s="489"/>
      <c r="BA20" s="489"/>
      <c r="BO20" s="495"/>
      <c r="BP20" s="495"/>
      <c r="BQ20" s="495"/>
      <c r="BR20" s="495"/>
      <c r="BS20" s="495"/>
      <c r="BT20" s="491"/>
      <c r="BU20" s="495"/>
      <c r="BV20" s="495"/>
      <c r="BW20" s="495"/>
      <c r="BX20" s="495"/>
      <c r="BY20" s="495"/>
      <c r="BZ20" s="495"/>
      <c r="CA20" s="495"/>
      <c r="CB20" s="489"/>
      <c r="CC20" s="489"/>
      <c r="CD20" s="489"/>
      <c r="CE20" s="489"/>
      <c r="CF20" s="489"/>
      <c r="CL20" s="495">
        <v>30982.44591545951</v>
      </c>
      <c r="CM20" s="495">
        <v>7886.3406848950144</v>
      </c>
      <c r="CN20" s="495">
        <v>0</v>
      </c>
      <c r="CO20" s="495">
        <v>28383.799716473215</v>
      </c>
      <c r="CP20" s="495">
        <v>1.4101230179755969E-4</v>
      </c>
      <c r="CQ20" s="491">
        <v>0.90955113561773548</v>
      </c>
      <c r="CR20" s="495"/>
      <c r="CS20" s="495">
        <v>0</v>
      </c>
      <c r="CT20" s="495">
        <v>0</v>
      </c>
      <c r="CU20" s="495">
        <v>405484.47244788264</v>
      </c>
      <c r="CV20" s="495">
        <v>0</v>
      </c>
      <c r="CW20" s="495"/>
      <c r="CX20" s="495">
        <v>405484.48050572845</v>
      </c>
      <c r="CY20" s="489"/>
      <c r="CZ20" s="489"/>
      <c r="DA20" s="489"/>
      <c r="DB20" s="489"/>
      <c r="DC20" s="489">
        <v>295155</v>
      </c>
      <c r="DG20" s="430" t="e">
        <f>#REF!</f>
        <v>#REF!</v>
      </c>
      <c r="DH20" s="430" t="e">
        <f>#REF!</f>
        <v>#REF!</v>
      </c>
      <c r="DI20" s="241">
        <f t="shared" si="1"/>
        <v>0</v>
      </c>
      <c r="DJ20" s="241">
        <f t="shared" si="2"/>
        <v>0</v>
      </c>
      <c r="DK20" s="241">
        <f t="shared" si="3"/>
        <v>67252.586457840051</v>
      </c>
      <c r="DN20" s="430" t="e">
        <f t="shared" si="4"/>
        <v>#REF!</v>
      </c>
      <c r="DO20" s="430" t="e">
        <f t="shared" si="5"/>
        <v>#REF!</v>
      </c>
      <c r="DP20" s="241">
        <f t="shared" si="6"/>
        <v>0</v>
      </c>
      <c r="DQ20" s="241">
        <f t="shared" si="7"/>
        <v>0</v>
      </c>
      <c r="DR20" s="241">
        <f t="shared" si="8"/>
        <v>405484.48050572845</v>
      </c>
    </row>
    <row r="21" spans="1:122">
      <c r="A21" s="241">
        <v>34184.610649228795</v>
      </c>
      <c r="B21" s="241">
        <v>5610.2465883479126</v>
      </c>
      <c r="C21" s="241">
        <v>0</v>
      </c>
      <c r="D21" s="241">
        <v>0</v>
      </c>
      <c r="E21" s="241">
        <v>0</v>
      </c>
      <c r="F21" s="495">
        <v>1264.7070518569258</v>
      </c>
      <c r="G21" s="495">
        <v>28940.44</v>
      </c>
      <c r="H21" s="53">
        <v>1</v>
      </c>
      <c r="I21" s="241"/>
      <c r="J21" s="241">
        <v>0</v>
      </c>
      <c r="K21" s="241">
        <v>0</v>
      </c>
      <c r="L21" s="241">
        <v>0</v>
      </c>
      <c r="M21" s="241">
        <v>6097.4010972202332</v>
      </c>
      <c r="N21" s="495">
        <v>42156.901728564197</v>
      </c>
      <c r="O21" s="241"/>
      <c r="P21" s="241">
        <v>48254.302825784427</v>
      </c>
      <c r="U21">
        <v>483728</v>
      </c>
      <c r="X21">
        <f t="shared" si="0"/>
        <v>84</v>
      </c>
      <c r="AA21" s="241">
        <v>50753.143346980571</v>
      </c>
      <c r="AB21" s="241">
        <v>737.74578024987352</v>
      </c>
      <c r="AC21" t="s">
        <v>1263</v>
      </c>
      <c r="AE21" s="241"/>
      <c r="AJ21" s="495"/>
      <c r="AK21" s="495"/>
      <c r="AL21" s="495"/>
      <c r="AM21" s="495"/>
      <c r="AN21" s="495"/>
      <c r="AO21" s="491"/>
      <c r="AP21" s="495"/>
      <c r="AQ21" s="495"/>
      <c r="AR21" s="495"/>
      <c r="AS21" s="495"/>
      <c r="AT21" s="495"/>
      <c r="AU21" s="495"/>
      <c r="AV21" s="495"/>
      <c r="AW21" s="489"/>
      <c r="AX21" s="489"/>
      <c r="AY21" s="489"/>
      <c r="AZ21" s="489"/>
      <c r="BA21" s="489"/>
      <c r="BO21" s="495"/>
      <c r="BP21" s="495"/>
      <c r="BQ21" s="495"/>
      <c r="BR21" s="495"/>
      <c r="BS21" s="495"/>
      <c r="BT21" s="491"/>
      <c r="BU21" s="495"/>
      <c r="BV21" s="495"/>
      <c r="BW21" s="495"/>
      <c r="BX21" s="495"/>
      <c r="BY21" s="495"/>
      <c r="BZ21" s="495"/>
      <c r="CA21" s="495"/>
      <c r="CB21" s="489"/>
      <c r="CC21" s="489"/>
      <c r="CD21" s="489"/>
      <c r="CE21" s="489"/>
      <c r="CF21" s="489"/>
      <c r="CL21" s="495">
        <v>32077.131780443251</v>
      </c>
      <c r="CM21" s="495">
        <v>7693.9909120926968</v>
      </c>
      <c r="CN21" s="495">
        <v>0</v>
      </c>
      <c r="CO21" s="495">
        <v>35365.728256933791</v>
      </c>
      <c r="CP21" s="495">
        <v>1.3923245140291977E-4</v>
      </c>
      <c r="CQ21" s="491">
        <v>0.94193212516348868</v>
      </c>
      <c r="CR21" s="495"/>
      <c r="CS21" s="495">
        <v>0</v>
      </c>
      <c r="CT21" s="495">
        <v>0</v>
      </c>
      <c r="CU21" s="495">
        <v>392954.15717068611</v>
      </c>
      <c r="CV21" s="495">
        <v>0</v>
      </c>
      <c r="CW21" s="495"/>
      <c r="CX21" s="495">
        <v>392954.16512682621</v>
      </c>
      <c r="CY21" s="489"/>
      <c r="CZ21" s="489"/>
      <c r="DA21" s="489"/>
      <c r="DB21" s="489"/>
      <c r="DC21" s="489">
        <v>327232</v>
      </c>
      <c r="DG21" s="430" t="e">
        <f>#REF!</f>
        <v>#REF!</v>
      </c>
      <c r="DH21" s="430" t="e">
        <f>#REF!</f>
        <v>#REF!</v>
      </c>
      <c r="DI21" s="241">
        <f t="shared" si="1"/>
        <v>0</v>
      </c>
      <c r="DJ21" s="241">
        <f t="shared" si="2"/>
        <v>0</v>
      </c>
      <c r="DK21" s="241">
        <f t="shared" si="3"/>
        <v>75136.851088702198</v>
      </c>
      <c r="DN21" s="430" t="e">
        <f t="shared" si="4"/>
        <v>#REF!</v>
      </c>
      <c r="DO21" s="430" t="e">
        <f t="shared" si="5"/>
        <v>#REF!</v>
      </c>
      <c r="DP21" s="241">
        <f t="shared" si="6"/>
        <v>0</v>
      </c>
      <c r="DQ21" s="241">
        <f t="shared" si="7"/>
        <v>0</v>
      </c>
      <c r="DR21" s="241">
        <f t="shared" si="8"/>
        <v>392954.16512682621</v>
      </c>
    </row>
    <row r="22" spans="1:122">
      <c r="A22" s="241">
        <v>34175.990877296383</v>
      </c>
      <c r="B22" s="241">
        <v>5473.41130570528</v>
      </c>
      <c r="C22" s="241">
        <v>0</v>
      </c>
      <c r="D22" s="241">
        <v>0</v>
      </c>
      <c r="E22" s="241">
        <v>0</v>
      </c>
      <c r="F22" s="495">
        <v>386.823270104318</v>
      </c>
      <c r="G22" s="495">
        <v>12894.109003477268</v>
      </c>
      <c r="H22" s="53">
        <v>1</v>
      </c>
      <c r="I22" s="241"/>
      <c r="J22" s="241">
        <v>0</v>
      </c>
      <c r="K22" s="241">
        <v>0</v>
      </c>
      <c r="L22" s="241">
        <v>0</v>
      </c>
      <c r="M22" s="241">
        <v>5799.966897355831</v>
      </c>
      <c r="N22" s="495">
        <v>12894.109003477268</v>
      </c>
      <c r="O22" s="241"/>
      <c r="P22" s="241">
        <v>18694.075900833101</v>
      </c>
      <c r="U22">
        <v>517904</v>
      </c>
      <c r="X22">
        <f t="shared" si="0"/>
        <v>85</v>
      </c>
      <c r="AA22" s="241">
        <v>18694.075900833101</v>
      </c>
      <c r="AB22" s="241">
        <v>225.64690756085221</v>
      </c>
      <c r="AC22" t="s">
        <v>1263</v>
      </c>
      <c r="AE22" s="241"/>
      <c r="AJ22" s="495"/>
      <c r="AK22" s="495"/>
      <c r="AL22" s="495"/>
      <c r="AM22" s="495"/>
      <c r="AN22" s="495"/>
      <c r="AO22" s="491"/>
      <c r="AP22" s="495"/>
      <c r="AQ22" s="495"/>
      <c r="AR22" s="495"/>
      <c r="AS22" s="495"/>
      <c r="AT22" s="495"/>
      <c r="AU22" s="495"/>
      <c r="AV22" s="495"/>
      <c r="AW22" s="489"/>
      <c r="AX22" s="489"/>
      <c r="AY22" s="489"/>
      <c r="AZ22" s="489"/>
      <c r="BA22" s="489"/>
      <c r="BO22" s="495"/>
      <c r="BP22" s="495"/>
      <c r="BQ22" s="495"/>
      <c r="BR22" s="495"/>
      <c r="BS22" s="495"/>
      <c r="BT22" s="491"/>
      <c r="BU22" s="495"/>
      <c r="BV22" s="495"/>
      <c r="BW22" s="495"/>
      <c r="BX22" s="495"/>
      <c r="BY22" s="495"/>
      <c r="BZ22" s="495"/>
      <c r="CA22" s="495"/>
      <c r="CB22" s="489"/>
      <c r="CC22" s="489"/>
      <c r="CD22" s="489"/>
      <c r="CE22" s="489"/>
      <c r="CF22" s="489"/>
      <c r="CL22" s="495">
        <v>32396.134058858661</v>
      </c>
      <c r="CM22" s="495">
        <v>7506.3325971636068</v>
      </c>
      <c r="CN22" s="495">
        <v>0</v>
      </c>
      <c r="CO22" s="495">
        <v>33551.206145428587</v>
      </c>
      <c r="CP22" s="495">
        <v>1.3747506619313904E-4</v>
      </c>
      <c r="CQ22" s="491">
        <v>0.95154034951181488</v>
      </c>
      <c r="CR22" s="495"/>
      <c r="CS22" s="495">
        <v>0</v>
      </c>
      <c r="CT22" s="495">
        <v>0</v>
      </c>
      <c r="CU22" s="495">
        <v>372792.80032662669</v>
      </c>
      <c r="CV22" s="495">
        <v>0</v>
      </c>
      <c r="CW22" s="495"/>
      <c r="CX22" s="495">
        <v>372792.80818234477</v>
      </c>
      <c r="CY22" s="489"/>
      <c r="CZ22" s="489"/>
      <c r="DA22" s="489"/>
      <c r="DB22" s="489"/>
      <c r="DC22" s="489">
        <v>359628</v>
      </c>
      <c r="DG22" s="430" t="e">
        <f>#REF!</f>
        <v>#REF!</v>
      </c>
      <c r="DH22" s="430" t="e">
        <f>#REF!</f>
        <v>#REF!</v>
      </c>
      <c r="DI22" s="241">
        <f t="shared" si="1"/>
        <v>0</v>
      </c>
      <c r="DJ22" s="241">
        <f t="shared" si="2"/>
        <v>0</v>
      </c>
      <c r="DK22" s="241">
        <f t="shared" si="3"/>
        <v>73453.672938925927</v>
      </c>
      <c r="DN22" s="430" t="e">
        <f t="shared" si="4"/>
        <v>#REF!</v>
      </c>
      <c r="DO22" s="430" t="e">
        <f t="shared" si="5"/>
        <v>#REF!</v>
      </c>
      <c r="DP22" s="241">
        <f t="shared" si="6"/>
        <v>0</v>
      </c>
      <c r="DQ22" s="241">
        <f t="shared" si="7"/>
        <v>0</v>
      </c>
      <c r="DR22" s="241">
        <f t="shared" si="8"/>
        <v>372792.80818234477</v>
      </c>
    </row>
    <row r="23" spans="1:122">
      <c r="A23" s="241">
        <v>34167.581343703787</v>
      </c>
      <c r="B23" s="241">
        <v>5339.9134689807615</v>
      </c>
      <c r="C23" s="241">
        <v>0</v>
      </c>
      <c r="D23" s="241">
        <v>0</v>
      </c>
      <c r="E23" s="241">
        <v>0</v>
      </c>
      <c r="F23" s="495">
        <v>0</v>
      </c>
      <c r="G23" s="495">
        <v>0</v>
      </c>
      <c r="H23" s="53">
        <v>1</v>
      </c>
      <c r="I23" s="241"/>
      <c r="J23" s="241">
        <v>0</v>
      </c>
      <c r="K23" s="241">
        <v>0</v>
      </c>
      <c r="L23" s="241">
        <v>0</v>
      </c>
      <c r="M23" s="241">
        <v>5517.0416828506686</v>
      </c>
      <c r="N23" s="495">
        <v>0</v>
      </c>
      <c r="O23" s="241"/>
      <c r="P23" s="241">
        <v>5517.0416828506686</v>
      </c>
      <c r="U23">
        <v>552072</v>
      </c>
      <c r="X23">
        <f t="shared" si="0"/>
        <v>86</v>
      </c>
      <c r="AA23" s="241">
        <v>5517.0416828506686</v>
      </c>
      <c r="AB23" s="241">
        <v>0</v>
      </c>
      <c r="AC23" t="s">
        <v>1263</v>
      </c>
      <c r="AE23" s="241"/>
      <c r="AJ23" s="495"/>
      <c r="AK23" s="495"/>
      <c r="AL23" s="495"/>
      <c r="AM23" s="495"/>
      <c r="AN23" s="495"/>
      <c r="AO23" s="491"/>
      <c r="AP23" s="495"/>
      <c r="AQ23" s="495"/>
      <c r="AR23" s="495"/>
      <c r="AS23" s="495"/>
      <c r="AT23" s="495"/>
      <c r="AU23" s="495"/>
      <c r="AV23" s="495"/>
      <c r="AW23" s="489"/>
      <c r="AX23" s="489"/>
      <c r="AY23" s="489"/>
      <c r="AZ23" s="489"/>
      <c r="BA23" s="489"/>
      <c r="BO23" s="495"/>
      <c r="BP23" s="495"/>
      <c r="BQ23" s="495"/>
      <c r="BR23" s="495"/>
      <c r="BS23" s="495"/>
      <c r="BT23" s="491"/>
      <c r="BU23" s="495"/>
      <c r="BV23" s="495"/>
      <c r="BW23" s="495"/>
      <c r="BX23" s="495"/>
      <c r="BY23" s="495"/>
      <c r="BZ23" s="495"/>
      <c r="CA23" s="495"/>
      <c r="CB23" s="489"/>
      <c r="CC23" s="489"/>
      <c r="CD23" s="489"/>
      <c r="CE23" s="489"/>
      <c r="CF23" s="489"/>
      <c r="CL23" s="495">
        <v>32698.540448704407</v>
      </c>
      <c r="CM23" s="495">
        <v>7323.2513143059577</v>
      </c>
      <c r="CN23" s="495">
        <v>0</v>
      </c>
      <c r="CO23" s="495">
        <v>31829.764258828909</v>
      </c>
      <c r="CP23" s="495">
        <v>1.3573986261375005E-4</v>
      </c>
      <c r="CQ23" s="491">
        <v>0.96065992816945345</v>
      </c>
      <c r="CR23" s="495"/>
      <c r="CS23" s="495">
        <v>0</v>
      </c>
      <c r="CT23" s="495">
        <v>0</v>
      </c>
      <c r="CU23" s="495">
        <v>353665.87282115803</v>
      </c>
      <c r="CV23" s="495">
        <v>0</v>
      </c>
      <c r="CW23" s="495"/>
      <c r="CX23" s="495">
        <v>353665.88057772163</v>
      </c>
      <c r="CY23" s="489"/>
      <c r="CZ23" s="489"/>
      <c r="DA23" s="489"/>
      <c r="DB23" s="489"/>
      <c r="DC23" s="489">
        <v>392327</v>
      </c>
      <c r="DG23" s="430" t="e">
        <f>#REF!</f>
        <v>#REF!</v>
      </c>
      <c r="DH23" s="430" t="e">
        <f>#REF!</f>
        <v>#REF!</v>
      </c>
      <c r="DI23" s="241">
        <f t="shared" si="1"/>
        <v>0</v>
      </c>
      <c r="DJ23" s="241">
        <f t="shared" si="2"/>
        <v>0</v>
      </c>
      <c r="DK23" s="241">
        <f t="shared" si="3"/>
        <v>71851.556157579122</v>
      </c>
      <c r="DN23" s="430" t="e">
        <f t="shared" si="4"/>
        <v>#REF!</v>
      </c>
      <c r="DO23" s="430" t="e">
        <f t="shared" si="5"/>
        <v>#REF!</v>
      </c>
      <c r="DP23" s="241">
        <f t="shared" si="6"/>
        <v>0</v>
      </c>
      <c r="DQ23" s="241">
        <f t="shared" si="7"/>
        <v>0</v>
      </c>
      <c r="DR23" s="241">
        <f t="shared" si="8"/>
        <v>353665.88057772163</v>
      </c>
    </row>
    <row r="24" spans="1:122">
      <c r="A24" s="241">
        <v>34159.37692068662</v>
      </c>
      <c r="B24" s="241">
        <v>5209.6716770544017</v>
      </c>
      <c r="C24" s="241">
        <v>0</v>
      </c>
      <c r="D24" s="241">
        <v>0</v>
      </c>
      <c r="E24" s="241">
        <v>0</v>
      </c>
      <c r="F24" s="495">
        <v>0</v>
      </c>
      <c r="G24" s="495">
        <v>0</v>
      </c>
      <c r="H24" s="53">
        <v>1</v>
      </c>
      <c r="I24" s="241"/>
      <c r="J24" s="241">
        <v>0</v>
      </c>
      <c r="K24" s="241">
        <v>0</v>
      </c>
      <c r="L24" s="241">
        <v>0</v>
      </c>
      <c r="M24" s="241">
        <v>5247.9176983213683</v>
      </c>
      <c r="N24" s="495">
        <v>0</v>
      </c>
      <c r="O24" s="241"/>
      <c r="P24" s="241">
        <v>5247.9176983213683</v>
      </c>
      <c r="U24">
        <v>586231</v>
      </c>
      <c r="X24">
        <f t="shared" si="0"/>
        <v>87</v>
      </c>
      <c r="AA24" s="241">
        <v>5247.9176983213683</v>
      </c>
      <c r="AB24" s="241">
        <v>0</v>
      </c>
      <c r="AC24" t="s">
        <v>1263</v>
      </c>
      <c r="AE24" s="241"/>
      <c r="AJ24" s="495"/>
      <c r="AK24" s="495"/>
      <c r="AL24" s="495"/>
      <c r="AM24" s="495"/>
      <c r="AN24" s="495"/>
      <c r="AO24" s="491"/>
      <c r="AP24" s="495"/>
      <c r="AQ24" s="495"/>
      <c r="AR24" s="495"/>
      <c r="AS24" s="495"/>
      <c r="AT24" s="495"/>
      <c r="AU24" s="495"/>
      <c r="AV24" s="495"/>
      <c r="AW24" s="489"/>
      <c r="AX24" s="489"/>
      <c r="AY24" s="489"/>
      <c r="AZ24" s="489"/>
      <c r="BA24" s="489"/>
      <c r="BO24" s="495"/>
      <c r="BP24" s="495"/>
      <c r="BQ24" s="495"/>
      <c r="BR24" s="495"/>
      <c r="BS24" s="495"/>
      <c r="BT24" s="491"/>
      <c r="BU24" s="495"/>
      <c r="BV24" s="495"/>
      <c r="BW24" s="495"/>
      <c r="BX24" s="495"/>
      <c r="BY24" s="495"/>
      <c r="BZ24" s="495"/>
      <c r="CA24" s="495"/>
      <c r="CB24" s="489"/>
      <c r="CC24" s="489"/>
      <c r="CD24" s="489"/>
      <c r="CE24" s="489"/>
      <c r="CF24" s="489"/>
      <c r="CL24" s="495">
        <v>32985.201269842466</v>
      </c>
      <c r="CM24" s="495">
        <v>7144.6354285911784</v>
      </c>
      <c r="CN24" s="495">
        <v>0</v>
      </c>
      <c r="CO24" s="495">
        <v>30196.664453857389</v>
      </c>
      <c r="CP24" s="495">
        <v>1.34026560689296E-4</v>
      </c>
      <c r="CQ24" s="491">
        <v>0.96931546371601662</v>
      </c>
      <c r="CR24" s="495"/>
      <c r="CS24" s="495">
        <v>0</v>
      </c>
      <c r="CT24" s="495">
        <v>0</v>
      </c>
      <c r="CU24" s="495">
        <v>335520.31943258556</v>
      </c>
      <c r="CV24" s="495">
        <v>0</v>
      </c>
      <c r="CW24" s="495"/>
      <c r="CX24" s="495">
        <v>335520.32709124614</v>
      </c>
      <c r="CY24" s="489"/>
      <c r="CZ24" s="489"/>
      <c r="DA24" s="489"/>
      <c r="DB24" s="489"/>
      <c r="DC24" s="489">
        <v>425312</v>
      </c>
      <c r="DG24" s="430" t="e">
        <f>#REF!</f>
        <v>#REF!</v>
      </c>
      <c r="DH24" s="430" t="e">
        <f>#REF!</f>
        <v>#REF!</v>
      </c>
      <c r="DI24" s="241">
        <f t="shared" si="1"/>
        <v>0</v>
      </c>
      <c r="DJ24" s="241">
        <f t="shared" si="2"/>
        <v>0</v>
      </c>
      <c r="DK24" s="241">
        <f t="shared" si="3"/>
        <v>70326.501286317594</v>
      </c>
      <c r="DN24" s="430" t="e">
        <f t="shared" si="4"/>
        <v>#REF!</v>
      </c>
      <c r="DO24" s="430" t="e">
        <f t="shared" si="5"/>
        <v>#REF!</v>
      </c>
      <c r="DP24" s="241">
        <f t="shared" si="6"/>
        <v>0</v>
      </c>
      <c r="DQ24" s="241">
        <f t="shared" si="7"/>
        <v>0</v>
      </c>
      <c r="DR24" s="241">
        <f t="shared" si="8"/>
        <v>335520.32709124614</v>
      </c>
    </row>
    <row r="25" spans="1:122">
      <c r="A25" s="241">
        <v>34151.37260554792</v>
      </c>
      <c r="B25" s="241">
        <v>5082.6065141994168</v>
      </c>
      <c r="C25" s="241">
        <v>0</v>
      </c>
      <c r="D25" s="241">
        <v>0</v>
      </c>
      <c r="E25" s="241">
        <v>0</v>
      </c>
      <c r="F25" s="495">
        <v>0</v>
      </c>
      <c r="G25" s="495">
        <v>0</v>
      </c>
      <c r="H25" s="53">
        <v>1</v>
      </c>
      <c r="I25" s="241"/>
      <c r="J25" s="241">
        <v>0</v>
      </c>
      <c r="K25" s="241">
        <v>0</v>
      </c>
      <c r="L25" s="241">
        <v>0</v>
      </c>
      <c r="M25" s="241">
        <v>4991.9217130373991</v>
      </c>
      <c r="N25" s="495">
        <v>0</v>
      </c>
      <c r="O25" s="241"/>
      <c r="P25" s="241">
        <v>4991.9217130373991</v>
      </c>
      <c r="U25">
        <v>620382</v>
      </c>
      <c r="X25">
        <f t="shared" si="0"/>
        <v>88</v>
      </c>
      <c r="AA25" s="241">
        <v>4991.9217130373991</v>
      </c>
      <c r="AB25" s="241">
        <v>0</v>
      </c>
      <c r="AC25" t="s">
        <v>1263</v>
      </c>
      <c r="AE25" s="241"/>
      <c r="AJ25" s="495"/>
      <c r="AK25" s="495"/>
      <c r="AL25" s="495"/>
      <c r="AM25" s="495"/>
      <c r="AN25" s="495"/>
      <c r="AO25" s="491"/>
      <c r="AP25" s="495"/>
      <c r="AQ25" s="495"/>
      <c r="AR25" s="495"/>
      <c r="AS25" s="495"/>
      <c r="AT25" s="495"/>
      <c r="AU25" s="495"/>
      <c r="AV25" s="495"/>
      <c r="AW25" s="489"/>
      <c r="AX25" s="489"/>
      <c r="AY25" s="489"/>
      <c r="AZ25" s="489"/>
      <c r="BA25" s="489"/>
      <c r="BO25" s="495"/>
      <c r="BP25" s="495"/>
      <c r="BQ25" s="495"/>
      <c r="BR25" s="495"/>
      <c r="BS25" s="495"/>
      <c r="BT25" s="491"/>
      <c r="BU25" s="495"/>
      <c r="BV25" s="495"/>
      <c r="BW25" s="495"/>
      <c r="BX25" s="495"/>
      <c r="BY25" s="495"/>
      <c r="BZ25" s="495"/>
      <c r="CA25" s="495"/>
      <c r="CB25" s="489"/>
      <c r="CC25" s="489"/>
      <c r="CD25" s="489"/>
      <c r="CE25" s="489"/>
      <c r="CF25" s="489"/>
      <c r="CL25" s="495">
        <v>33256.933392700514</v>
      </c>
      <c r="CM25" s="495">
        <v>6970.3760278938325</v>
      </c>
      <c r="CN25" s="495">
        <v>0</v>
      </c>
      <c r="CO25" s="495">
        <v>28647.354959806271</v>
      </c>
      <c r="CP25" s="495">
        <v>1.3233488397815672E-4</v>
      </c>
      <c r="CQ25" s="491">
        <v>0.97753061812906528</v>
      </c>
      <c r="CR25" s="495"/>
      <c r="CS25" s="495">
        <v>0</v>
      </c>
      <c r="CT25" s="495">
        <v>0</v>
      </c>
      <c r="CU25" s="495">
        <v>318305.76949868421</v>
      </c>
      <c r="CV25" s="495">
        <v>0</v>
      </c>
      <c r="CW25" s="495"/>
      <c r="CX25" s="495">
        <v>318305.77706067759</v>
      </c>
      <c r="CY25" s="489"/>
      <c r="CZ25" s="489"/>
      <c r="DA25" s="489"/>
      <c r="DB25" s="489"/>
      <c r="DC25" s="489">
        <v>458569</v>
      </c>
      <c r="DG25" s="430" t="e">
        <f>#REF!</f>
        <v>#REF!</v>
      </c>
      <c r="DH25" s="430" t="e">
        <f>#REF!</f>
        <v>#REF!</v>
      </c>
      <c r="DI25" s="241">
        <f t="shared" si="1"/>
        <v>0</v>
      </c>
      <c r="DJ25" s="241">
        <f t="shared" si="2"/>
        <v>0</v>
      </c>
      <c r="DK25" s="241">
        <f t="shared" si="3"/>
        <v>68874.6645127355</v>
      </c>
      <c r="DN25" s="430" t="e">
        <f t="shared" si="4"/>
        <v>#REF!</v>
      </c>
      <c r="DO25" s="430" t="e">
        <f t="shared" si="5"/>
        <v>#REF!</v>
      </c>
      <c r="DP25" s="241">
        <f t="shared" si="6"/>
        <v>0</v>
      </c>
      <c r="DQ25" s="241">
        <f t="shared" si="7"/>
        <v>0</v>
      </c>
      <c r="DR25" s="241">
        <f t="shared" si="8"/>
        <v>318305.77706067759</v>
      </c>
    </row>
    <row r="26" spans="1:122">
      <c r="A26" s="241">
        <v>34143.563517607727</v>
      </c>
      <c r="B26" s="241">
        <v>4958.6405016579674</v>
      </c>
      <c r="C26" s="241">
        <v>0</v>
      </c>
      <c r="D26" s="241">
        <v>0</v>
      </c>
      <c r="E26" s="241">
        <v>0</v>
      </c>
      <c r="F26" s="495">
        <v>0</v>
      </c>
      <c r="G26" s="495">
        <v>0</v>
      </c>
      <c r="H26" s="53">
        <v>1</v>
      </c>
      <c r="I26" s="241"/>
      <c r="J26" s="241">
        <v>0</v>
      </c>
      <c r="K26" s="241">
        <v>0</v>
      </c>
      <c r="L26" s="241">
        <v>0</v>
      </c>
      <c r="M26" s="241">
        <v>4748.4133367916729</v>
      </c>
      <c r="N26" s="495">
        <v>0</v>
      </c>
      <c r="O26" s="241"/>
      <c r="P26" s="241">
        <v>4748.4133367916729</v>
      </c>
      <c r="U26">
        <v>654526</v>
      </c>
      <c r="X26">
        <f t="shared" si="0"/>
        <v>89</v>
      </c>
      <c r="AA26" s="241">
        <v>4748.4133367916729</v>
      </c>
      <c r="AB26" s="241">
        <v>0</v>
      </c>
      <c r="AC26" t="s">
        <v>1263</v>
      </c>
      <c r="AE26" s="241"/>
      <c r="AJ26" s="495"/>
      <c r="AK26" s="495"/>
      <c r="AL26" s="495"/>
      <c r="AM26" s="495"/>
      <c r="AN26" s="495"/>
      <c r="AO26" s="491"/>
      <c r="AP26" s="495"/>
      <c r="AQ26" s="495"/>
      <c r="AR26" s="495"/>
      <c r="AS26" s="495"/>
      <c r="AT26" s="495"/>
      <c r="AU26" s="495"/>
      <c r="AV26" s="495"/>
      <c r="AW26" s="489"/>
      <c r="AX26" s="489"/>
      <c r="AY26" s="489"/>
      <c r="AZ26" s="489"/>
      <c r="BA26" s="489"/>
      <c r="BO26" s="495"/>
      <c r="BP26" s="495"/>
      <c r="BQ26" s="495"/>
      <c r="BR26" s="495"/>
      <c r="BS26" s="495"/>
      <c r="BT26" s="491"/>
      <c r="BU26" s="495"/>
      <c r="BV26" s="495"/>
      <c r="BW26" s="495"/>
      <c r="BX26" s="495"/>
      <c r="BY26" s="495"/>
      <c r="BZ26" s="495"/>
      <c r="CA26" s="495"/>
      <c r="CB26" s="489"/>
      <c r="CC26" s="489"/>
      <c r="CD26" s="489"/>
      <c r="CE26" s="489"/>
      <c r="CF26" s="489"/>
      <c r="CL26" s="495">
        <v>33514.513926311978</v>
      </c>
      <c r="CM26" s="495">
        <v>6800.3668564817881</v>
      </c>
      <c r="CN26" s="495">
        <v>0</v>
      </c>
      <c r="CO26" s="495">
        <v>33216.950140683737</v>
      </c>
      <c r="CP26" s="495">
        <v>1.306645595279446E-4</v>
      </c>
      <c r="CQ26" s="491">
        <v>0.98532792393136304</v>
      </c>
      <c r="CR26" s="495"/>
      <c r="CS26" s="495">
        <v>0</v>
      </c>
      <c r="CT26" s="495">
        <v>0</v>
      </c>
      <c r="CU26" s="495">
        <v>301974.45553537412</v>
      </c>
      <c r="CV26" s="495">
        <v>0</v>
      </c>
      <c r="CW26" s="495"/>
      <c r="CX26" s="495">
        <v>301974.46300192038</v>
      </c>
      <c r="CY26" s="489"/>
      <c r="CZ26" s="489"/>
      <c r="DA26" s="489"/>
      <c r="DB26" s="489"/>
      <c r="DC26" s="489">
        <v>492084</v>
      </c>
      <c r="DG26" s="430" t="e">
        <f>#REF!</f>
        <v>#REF!</v>
      </c>
      <c r="DH26" s="430" t="e">
        <f>#REF!</f>
        <v>#REF!</v>
      </c>
      <c r="DI26" s="241">
        <f t="shared" si="1"/>
        <v>0</v>
      </c>
      <c r="DJ26" s="241">
        <f t="shared" si="2"/>
        <v>0</v>
      </c>
      <c r="DK26" s="241">
        <f t="shared" si="3"/>
        <v>73531.831054142065</v>
      </c>
      <c r="DN26" s="430" t="e">
        <f t="shared" si="4"/>
        <v>#REF!</v>
      </c>
      <c r="DO26" s="430" t="e">
        <f t="shared" si="5"/>
        <v>#REF!</v>
      </c>
      <c r="DP26" s="241">
        <f t="shared" si="6"/>
        <v>0</v>
      </c>
      <c r="DQ26" s="241">
        <f t="shared" si="7"/>
        <v>0</v>
      </c>
      <c r="DR26" s="241">
        <f t="shared" si="8"/>
        <v>301974.46300192038</v>
      </c>
    </row>
    <row r="27" spans="1:122">
      <c r="A27" s="241">
        <v>34135.944895227054</v>
      </c>
      <c r="B27" s="241">
        <v>4837.6980503980176</v>
      </c>
      <c r="C27" s="241">
        <v>0</v>
      </c>
      <c r="D27" s="241">
        <v>0</v>
      </c>
      <c r="E27" s="241">
        <v>0</v>
      </c>
      <c r="F27" s="495">
        <v>0</v>
      </c>
      <c r="G27" s="495">
        <v>0</v>
      </c>
      <c r="H27" s="53">
        <v>1</v>
      </c>
      <c r="I27" s="241"/>
      <c r="J27" s="241">
        <v>0</v>
      </c>
      <c r="K27" s="241">
        <v>0</v>
      </c>
      <c r="L27" s="241">
        <v>0</v>
      </c>
      <c r="M27" s="241">
        <v>4516.7834179237861</v>
      </c>
      <c r="N27" s="495">
        <v>0</v>
      </c>
      <c r="O27" s="241"/>
      <c r="P27" s="241">
        <v>4516.7834179237861</v>
      </c>
      <c r="U27">
        <v>688662</v>
      </c>
      <c r="X27">
        <f t="shared" si="0"/>
        <v>90</v>
      </c>
      <c r="AA27" s="241">
        <v>4516.7834179237861</v>
      </c>
      <c r="AB27" s="241">
        <v>0</v>
      </c>
      <c r="AC27" t="s">
        <v>1263</v>
      </c>
      <c r="AE27" s="241"/>
      <c r="AJ27" s="495"/>
      <c r="AK27" s="495"/>
      <c r="AL27" s="495"/>
      <c r="AM27" s="495"/>
      <c r="AN27" s="495"/>
      <c r="AO27" s="491"/>
      <c r="AP27" s="495"/>
      <c r="AQ27" s="495"/>
      <c r="AR27" s="495"/>
      <c r="AS27" s="495"/>
      <c r="AT27" s="495"/>
      <c r="AU27" s="495"/>
      <c r="AV27" s="495"/>
      <c r="AW27" s="489"/>
      <c r="AX27" s="489"/>
      <c r="AY27" s="489"/>
      <c r="AZ27" s="489"/>
      <c r="BA27" s="489"/>
      <c r="BO27" s="495"/>
      <c r="BP27" s="495"/>
      <c r="BQ27" s="495"/>
      <c r="BR27" s="495"/>
      <c r="BS27" s="495"/>
      <c r="BT27" s="491"/>
      <c r="BU27" s="495"/>
      <c r="BV27" s="495"/>
      <c r="BW27" s="495"/>
      <c r="BX27" s="495"/>
      <c r="BY27" s="495"/>
      <c r="BZ27" s="495"/>
      <c r="CA27" s="495"/>
      <c r="CB27" s="489"/>
      <c r="CC27" s="489"/>
      <c r="CD27" s="489"/>
      <c r="CE27" s="489"/>
      <c r="CF27" s="489"/>
      <c r="CL27" s="495">
        <v>33858.791550688671</v>
      </c>
      <c r="CM27" s="495">
        <v>6634.5042502261349</v>
      </c>
      <c r="CN27" s="495">
        <v>0</v>
      </c>
      <c r="CO27" s="495">
        <v>30834.883255900524</v>
      </c>
      <c r="CP27" s="495">
        <v>1.2901531783146385E-4</v>
      </c>
      <c r="CQ27" s="491">
        <v>0.99567271707956462</v>
      </c>
      <c r="CR27" s="495"/>
      <c r="CS27" s="495">
        <v>0</v>
      </c>
      <c r="CT27" s="495">
        <v>0</v>
      </c>
      <c r="CU27" s="495">
        <v>280319.30198300886</v>
      </c>
      <c r="CV27" s="495">
        <v>0</v>
      </c>
      <c r="CW27" s="495"/>
      <c r="CX27" s="495">
        <v>280319.30935531273</v>
      </c>
      <c r="CY27" s="489"/>
      <c r="CZ27" s="489"/>
      <c r="DA27" s="489"/>
      <c r="DB27" s="489"/>
      <c r="DC27" s="489">
        <v>525943</v>
      </c>
      <c r="DG27" s="430" t="e">
        <f>#REF!</f>
        <v>#REF!</v>
      </c>
      <c r="DH27" s="430" t="e">
        <f>#REF!</f>
        <v>#REF!</v>
      </c>
      <c r="DI27" s="241">
        <f t="shared" si="1"/>
        <v>0</v>
      </c>
      <c r="DJ27" s="241">
        <f t="shared" si="2"/>
        <v>0</v>
      </c>
      <c r="DK27" s="241">
        <f t="shared" si="3"/>
        <v>71328.179185830653</v>
      </c>
      <c r="DN27" s="430" t="e">
        <f t="shared" si="4"/>
        <v>#REF!</v>
      </c>
      <c r="DO27" s="430" t="e">
        <f t="shared" si="5"/>
        <v>#REF!</v>
      </c>
      <c r="DP27" s="241">
        <f t="shared" si="6"/>
        <v>0</v>
      </c>
      <c r="DQ27" s="241">
        <f t="shared" si="7"/>
        <v>0</v>
      </c>
      <c r="DR27" s="241">
        <f t="shared" si="8"/>
        <v>280319.30935531273</v>
      </c>
    </row>
    <row r="28" spans="1:122">
      <c r="A28" s="241">
        <v>34128.512092904442</v>
      </c>
      <c r="B28" s="241">
        <v>4719.7054150224558</v>
      </c>
      <c r="C28" s="241">
        <v>0</v>
      </c>
      <c r="D28" s="241">
        <v>0</v>
      </c>
      <c r="E28" s="241">
        <v>0</v>
      </c>
      <c r="F28" s="495">
        <v>0</v>
      </c>
      <c r="G28" s="495">
        <v>0</v>
      </c>
      <c r="H28" s="53">
        <v>1</v>
      </c>
      <c r="I28" s="241"/>
      <c r="J28" s="241">
        <v>0</v>
      </c>
      <c r="K28" s="241">
        <v>0</v>
      </c>
      <c r="L28" s="241">
        <v>0</v>
      </c>
      <c r="M28" s="241">
        <v>4296.4525194884791</v>
      </c>
      <c r="N28" s="495">
        <v>0</v>
      </c>
      <c r="O28" s="241"/>
      <c r="P28" s="241">
        <v>4296.4525194884791</v>
      </c>
      <c r="U28">
        <v>722791</v>
      </c>
      <c r="X28">
        <f t="shared" si="0"/>
        <v>91</v>
      </c>
      <c r="AA28" s="241">
        <v>4296.4525194884791</v>
      </c>
      <c r="AB28" s="241">
        <v>0</v>
      </c>
      <c r="AC28" t="s">
        <v>1263</v>
      </c>
      <c r="AE28" s="241"/>
      <c r="AJ28" s="495"/>
      <c r="AK28" s="495"/>
      <c r="AL28" s="495"/>
      <c r="AM28" s="495"/>
      <c r="AN28" s="495"/>
      <c r="AO28" s="491"/>
      <c r="AP28" s="495"/>
      <c r="AQ28" s="495"/>
      <c r="AR28" s="495"/>
      <c r="AS28" s="495"/>
      <c r="AT28" s="495"/>
      <c r="AU28" s="495"/>
      <c r="AV28" s="495"/>
      <c r="AW28" s="489"/>
      <c r="AX28" s="489"/>
      <c r="AY28" s="489"/>
      <c r="AZ28" s="489"/>
      <c r="BA28" s="489"/>
      <c r="BO28" s="495"/>
      <c r="BP28" s="495"/>
      <c r="BQ28" s="495"/>
      <c r="BR28" s="495"/>
      <c r="BS28" s="495"/>
      <c r="BT28" s="491"/>
      <c r="BU28" s="495"/>
      <c r="BV28" s="495"/>
      <c r="BW28" s="495"/>
      <c r="BX28" s="495"/>
      <c r="BY28" s="495"/>
      <c r="BZ28" s="495"/>
      <c r="CA28" s="495"/>
      <c r="CB28" s="489"/>
      <c r="CC28" s="489"/>
      <c r="CD28" s="489"/>
      <c r="CE28" s="489"/>
      <c r="CF28" s="489"/>
      <c r="CL28" s="495">
        <v>33998.512092904442</v>
      </c>
      <c r="CM28" s="495">
        <v>6472.6870733913511</v>
      </c>
      <c r="CN28" s="495">
        <v>0</v>
      </c>
      <c r="CO28" s="495">
        <v>28623.640883676861</v>
      </c>
      <c r="CP28" s="495">
        <v>1.2738689278322525E-4</v>
      </c>
      <c r="CQ28" s="491">
        <v>1</v>
      </c>
      <c r="CR28" s="495"/>
      <c r="CS28" s="495">
        <v>0</v>
      </c>
      <c r="CT28" s="495">
        <v>0</v>
      </c>
      <c r="CU28" s="495">
        <v>260217.09758497812</v>
      </c>
      <c r="CV28" s="495">
        <v>0</v>
      </c>
      <c r="CW28" s="495"/>
      <c r="CX28" s="495">
        <v>260217.10486422913</v>
      </c>
      <c r="CY28" s="489"/>
      <c r="CZ28" s="489"/>
      <c r="DA28" s="489"/>
      <c r="DB28" s="489"/>
      <c r="DC28" s="489">
        <v>559942</v>
      </c>
      <c r="DG28" s="430" t="e">
        <f>#REF!</f>
        <v>#REF!</v>
      </c>
      <c r="DH28" s="430" t="e">
        <f>#REF!</f>
        <v>#REF!</v>
      </c>
      <c r="DI28" s="241">
        <f t="shared" si="1"/>
        <v>0</v>
      </c>
      <c r="DJ28" s="241">
        <f t="shared" si="2"/>
        <v>0</v>
      </c>
      <c r="DK28" s="241">
        <f t="shared" si="3"/>
        <v>69094.840177359554</v>
      </c>
      <c r="DN28" s="430" t="e">
        <f t="shared" si="4"/>
        <v>#REF!</v>
      </c>
      <c r="DO28" s="430" t="e">
        <f t="shared" si="5"/>
        <v>#REF!</v>
      </c>
      <c r="DP28" s="241">
        <f t="shared" si="6"/>
        <v>0</v>
      </c>
      <c r="DQ28" s="241">
        <f t="shared" si="7"/>
        <v>0</v>
      </c>
      <c r="DR28" s="241">
        <f t="shared" si="8"/>
        <v>260217.10486422913</v>
      </c>
    </row>
    <row r="29" spans="1:122">
      <c r="A29" s="241">
        <v>34121.260578443362</v>
      </c>
      <c r="B29" s="241">
        <v>4604.5906488023957</v>
      </c>
      <c r="C29" s="241">
        <v>0</v>
      </c>
      <c r="D29" s="241">
        <v>0</v>
      </c>
      <c r="E29" s="241">
        <v>0</v>
      </c>
      <c r="F29" s="495">
        <v>0</v>
      </c>
      <c r="G29" s="495">
        <v>0</v>
      </c>
      <c r="H29" s="53">
        <v>1</v>
      </c>
      <c r="I29" s="241"/>
      <c r="J29" s="241">
        <v>0</v>
      </c>
      <c r="K29" s="241">
        <v>0</v>
      </c>
      <c r="L29" s="241">
        <v>0</v>
      </c>
      <c r="M29" s="241">
        <v>4086.8694697573337</v>
      </c>
      <c r="N29" s="495">
        <v>0</v>
      </c>
      <c r="O29" s="241"/>
      <c r="P29" s="241">
        <v>4086.8694697573337</v>
      </c>
      <c r="U29">
        <v>756912</v>
      </c>
      <c r="X29">
        <f t="shared" si="0"/>
        <v>92</v>
      </c>
      <c r="AA29" s="241">
        <v>4086.8694697573337</v>
      </c>
      <c r="AB29" s="241">
        <v>0</v>
      </c>
      <c r="AC29" t="s">
        <v>1263</v>
      </c>
      <c r="AE29" s="241"/>
      <c r="AJ29" s="495"/>
      <c r="AK29" s="495"/>
      <c r="AL29" s="495"/>
      <c r="AM29" s="495"/>
      <c r="AN29" s="495"/>
      <c r="AO29" s="491"/>
      <c r="AP29" s="495"/>
      <c r="AQ29" s="495"/>
      <c r="AR29" s="495"/>
      <c r="AS29" s="495"/>
      <c r="AT29" s="495"/>
      <c r="AU29" s="495"/>
      <c r="AV29" s="495"/>
      <c r="AW29" s="489"/>
      <c r="AX29" s="489"/>
      <c r="AY29" s="489"/>
      <c r="AZ29" s="489"/>
      <c r="BA29" s="489"/>
      <c r="BO29" s="495"/>
      <c r="BP29" s="495"/>
      <c r="BQ29" s="495"/>
      <c r="BR29" s="495"/>
      <c r="BS29" s="495"/>
      <c r="BT29" s="491"/>
      <c r="BU29" s="495"/>
      <c r="BV29" s="495"/>
      <c r="BW29" s="495"/>
      <c r="BX29" s="495"/>
      <c r="BY29" s="495"/>
      <c r="BZ29" s="495"/>
      <c r="CA29" s="495"/>
      <c r="CB29" s="489"/>
      <c r="CC29" s="489"/>
      <c r="CD29" s="489"/>
      <c r="CE29" s="489"/>
      <c r="CF29" s="489"/>
      <c r="CL29" s="495">
        <v>33991.260578443362</v>
      </c>
      <c r="CM29" s="495">
        <v>6314.8166569671721</v>
      </c>
      <c r="CN29" s="495">
        <v>0</v>
      </c>
      <c r="CO29" s="495">
        <v>26570.972518487204</v>
      </c>
      <c r="CP29" s="495">
        <v>1.2577902163651015E-4</v>
      </c>
      <c r="CQ29" s="491">
        <v>1</v>
      </c>
      <c r="CR29" s="495"/>
      <c r="CS29" s="495">
        <v>0</v>
      </c>
      <c r="CT29" s="495">
        <v>0</v>
      </c>
      <c r="CU29" s="495">
        <v>241556.47608325401</v>
      </c>
      <c r="CV29" s="495">
        <v>0</v>
      </c>
      <c r="CW29" s="495"/>
      <c r="CX29" s="495">
        <v>241556.48327062666</v>
      </c>
      <c r="CY29" s="489"/>
      <c r="CZ29" s="489"/>
      <c r="DA29" s="489"/>
      <c r="DB29" s="489"/>
      <c r="DC29" s="489">
        <v>593933</v>
      </c>
      <c r="DG29" s="430" t="e">
        <f>#REF!</f>
        <v>#REF!</v>
      </c>
      <c r="DH29" s="430" t="e">
        <f>#REF!</f>
        <v>#REF!</v>
      </c>
      <c r="DI29" s="241">
        <f t="shared" si="1"/>
        <v>0</v>
      </c>
      <c r="DJ29" s="241">
        <f t="shared" si="2"/>
        <v>0</v>
      </c>
      <c r="DK29" s="241">
        <f t="shared" si="3"/>
        <v>66877.049879676764</v>
      </c>
      <c r="DN29" s="430" t="e">
        <f t="shared" si="4"/>
        <v>#REF!</v>
      </c>
      <c r="DO29" s="430" t="e">
        <f t="shared" si="5"/>
        <v>#REF!</v>
      </c>
      <c r="DP29" s="241">
        <f t="shared" si="6"/>
        <v>0</v>
      </c>
      <c r="DQ29" s="241">
        <f t="shared" si="7"/>
        <v>0</v>
      </c>
      <c r="DR29" s="241">
        <f t="shared" si="8"/>
        <v>241556.48327062666</v>
      </c>
    </row>
    <row r="30" spans="1:122">
      <c r="A30" s="241">
        <v>34114.185930188643</v>
      </c>
      <c r="B30" s="241">
        <v>4492.2835598072152</v>
      </c>
      <c r="C30" s="241">
        <v>0</v>
      </c>
      <c r="D30" s="241">
        <v>0</v>
      </c>
      <c r="E30" s="241">
        <v>0</v>
      </c>
      <c r="F30" s="495">
        <v>0</v>
      </c>
      <c r="G30" s="495">
        <v>0</v>
      </c>
      <c r="H30" s="53">
        <v>1</v>
      </c>
      <c r="I30" s="241"/>
      <c r="J30" s="241">
        <v>0</v>
      </c>
      <c r="K30" s="241">
        <v>0</v>
      </c>
      <c r="L30" s="241">
        <v>0</v>
      </c>
      <c r="M30" s="241">
        <v>3887.5099834277075</v>
      </c>
      <c r="N30" s="495">
        <v>0</v>
      </c>
      <c r="O30" s="241"/>
      <c r="P30" s="241">
        <v>3887.5099834277075</v>
      </c>
      <c r="U30">
        <v>791026</v>
      </c>
      <c r="X30">
        <f t="shared" si="0"/>
        <v>93</v>
      </c>
      <c r="AA30" s="241">
        <v>3887.5099834277075</v>
      </c>
      <c r="AB30" s="241">
        <v>0</v>
      </c>
      <c r="AC30" t="s">
        <v>1263</v>
      </c>
      <c r="AE30" s="241"/>
      <c r="AJ30" s="495"/>
      <c r="AK30" s="495"/>
      <c r="AL30" s="495"/>
      <c r="AM30" s="495"/>
      <c r="AN30" s="495"/>
      <c r="AO30" s="491"/>
      <c r="AP30" s="495"/>
      <c r="AQ30" s="495"/>
      <c r="AR30" s="495"/>
      <c r="AS30" s="495"/>
      <c r="AT30" s="495"/>
      <c r="AU30" s="495"/>
      <c r="AV30" s="495"/>
      <c r="AW30" s="489"/>
      <c r="AX30" s="489"/>
      <c r="AY30" s="489"/>
      <c r="AZ30" s="489"/>
      <c r="BA30" s="489"/>
      <c r="BO30" s="495"/>
      <c r="BP30" s="495"/>
      <c r="BQ30" s="495"/>
      <c r="BR30" s="495"/>
      <c r="BS30" s="495"/>
      <c r="BT30" s="491"/>
      <c r="BU30" s="495"/>
      <c r="BV30" s="495"/>
      <c r="BW30" s="495"/>
      <c r="BX30" s="495"/>
      <c r="BY30" s="495"/>
      <c r="BZ30" s="495"/>
      <c r="CA30" s="495"/>
      <c r="CB30" s="489"/>
      <c r="CC30" s="489"/>
      <c r="CD30" s="489"/>
      <c r="CE30" s="489"/>
      <c r="CF30" s="489"/>
      <c r="CL30" s="495">
        <v>33984.185930188643</v>
      </c>
      <c r="CM30" s="495">
        <v>6160.7967385045586</v>
      </c>
      <c r="CN30" s="495">
        <v>0</v>
      </c>
      <c r="CO30" s="495">
        <v>24665.506508924329</v>
      </c>
      <c r="CP30" s="495">
        <v>1.2419144496097614E-4</v>
      </c>
      <c r="CQ30" s="491">
        <v>1</v>
      </c>
      <c r="CR30" s="495"/>
      <c r="CS30" s="495">
        <v>0</v>
      </c>
      <c r="CT30" s="495">
        <v>0</v>
      </c>
      <c r="CU30" s="495">
        <v>224234.05781450059</v>
      </c>
      <c r="CV30" s="495">
        <v>0</v>
      </c>
      <c r="CW30" s="495"/>
      <c r="CX30" s="495">
        <v>224234.06491115459</v>
      </c>
      <c r="CY30" s="489"/>
      <c r="CZ30" s="489"/>
      <c r="DA30" s="489"/>
      <c r="DB30" s="489"/>
      <c r="DC30" s="489">
        <v>627917</v>
      </c>
      <c r="DG30" s="430" t="e">
        <f>#REF!</f>
        <v>#REF!</v>
      </c>
      <c r="DH30" s="430" t="e">
        <f>#REF!</f>
        <v>#REF!</v>
      </c>
      <c r="DI30" s="241">
        <f t="shared" si="1"/>
        <v>0</v>
      </c>
      <c r="DJ30" s="241">
        <f t="shared" si="2"/>
        <v>0</v>
      </c>
      <c r="DK30" s="241">
        <f t="shared" si="3"/>
        <v>64810.489301808972</v>
      </c>
      <c r="DN30" s="430" t="e">
        <f t="shared" si="4"/>
        <v>#REF!</v>
      </c>
      <c r="DO30" s="430" t="e">
        <f t="shared" si="5"/>
        <v>#REF!</v>
      </c>
      <c r="DP30" s="241">
        <f t="shared" si="6"/>
        <v>0</v>
      </c>
      <c r="DQ30" s="241">
        <f t="shared" si="7"/>
        <v>0</v>
      </c>
      <c r="DR30" s="241">
        <f t="shared" si="8"/>
        <v>224234.06491115459</v>
      </c>
    </row>
    <row r="31" spans="1:122">
      <c r="A31" s="241">
        <v>34107.283834330381</v>
      </c>
      <c r="B31" s="241">
        <v>4382.7156681045999</v>
      </c>
      <c r="C31" s="241">
        <v>0</v>
      </c>
      <c r="D31" s="241">
        <v>0</v>
      </c>
      <c r="E31" s="241">
        <v>0</v>
      </c>
      <c r="F31" s="495">
        <v>0</v>
      </c>
      <c r="G31" s="495">
        <v>0</v>
      </c>
      <c r="H31" s="53">
        <v>1</v>
      </c>
      <c r="I31" s="241"/>
      <c r="J31" s="241">
        <v>0</v>
      </c>
      <c r="K31" s="241">
        <v>0</v>
      </c>
      <c r="L31" s="241">
        <v>0</v>
      </c>
      <c r="M31" s="241">
        <v>3697.8753500897706</v>
      </c>
      <c r="N31" s="495">
        <v>0</v>
      </c>
      <c r="O31" s="241"/>
      <c r="P31" s="241">
        <v>3697.8753500897706</v>
      </c>
      <c r="U31">
        <v>825133</v>
      </c>
      <c r="X31">
        <f>IF(X30&lt;99,X30+1,"")</f>
        <v>94</v>
      </c>
      <c r="AA31" s="241">
        <v>3697.8753500897706</v>
      </c>
      <c r="AB31" s="241">
        <v>0</v>
      </c>
      <c r="AC31" t="s">
        <v>1263</v>
      </c>
      <c r="AE31" s="241"/>
      <c r="AJ31" s="495"/>
      <c r="AK31" s="495"/>
      <c r="AL31" s="495"/>
      <c r="AM31" s="495"/>
      <c r="AN31" s="495"/>
      <c r="AO31" s="491"/>
      <c r="AP31" s="495"/>
      <c r="AQ31" s="495"/>
      <c r="AR31" s="495"/>
      <c r="AS31" s="495"/>
      <c r="AT31" s="495"/>
      <c r="AU31" s="495"/>
      <c r="AV31" s="495"/>
      <c r="AW31" s="489"/>
      <c r="AX31" s="489"/>
      <c r="AY31" s="489"/>
      <c r="AZ31" s="489"/>
      <c r="BA31" s="489"/>
      <c r="BO31" s="495"/>
      <c r="BP31" s="495"/>
      <c r="BQ31" s="495"/>
      <c r="BR31" s="495"/>
      <c r="BS31" s="495"/>
      <c r="BT31" s="491"/>
      <c r="BU31" s="495"/>
      <c r="BV31" s="495"/>
      <c r="BW31" s="495"/>
      <c r="BX31" s="495"/>
      <c r="BY31" s="495"/>
      <c r="BZ31" s="495"/>
      <c r="CA31" s="495"/>
      <c r="CB31" s="489"/>
      <c r="CC31" s="489"/>
      <c r="CD31" s="489"/>
      <c r="CE31" s="489"/>
      <c r="CF31" s="489"/>
      <c r="CL31" s="495">
        <v>33977.283834330381</v>
      </c>
      <c r="CM31" s="495">
        <v>6010.5334034190819</v>
      </c>
      <c r="CN31" s="495">
        <v>0</v>
      </c>
      <c r="CO31" s="495">
        <v>29141.237337299539</v>
      </c>
      <c r="CP31" s="495">
        <v>1.22623906600798E-4</v>
      </c>
      <c r="CQ31" s="491">
        <v>1</v>
      </c>
      <c r="CR31" s="495"/>
      <c r="CS31" s="495">
        <v>0</v>
      </c>
      <c r="CT31" s="495">
        <v>0</v>
      </c>
      <c r="CU31" s="495">
        <v>208153.8766345802</v>
      </c>
      <c r="CV31" s="495">
        <v>0</v>
      </c>
      <c r="CW31" s="495"/>
      <c r="CX31" s="495">
        <v>208153.88364166056</v>
      </c>
      <c r="CY31" s="489"/>
      <c r="CZ31" s="489"/>
      <c r="DA31" s="489"/>
      <c r="DB31" s="489"/>
      <c r="DC31" s="489">
        <v>661894</v>
      </c>
      <c r="DG31" s="430" t="e">
        <f>#REF!</f>
        <v>#REF!</v>
      </c>
      <c r="DH31" s="430" t="e">
        <f>#REF!</f>
        <v>#REF!</v>
      </c>
      <c r="DI31" s="241">
        <f t="shared" si="1"/>
        <v>0</v>
      </c>
      <c r="DJ31" s="241">
        <f t="shared" si="2"/>
        <v>0</v>
      </c>
      <c r="DK31" s="241">
        <f t="shared" si="3"/>
        <v>69129.054697672909</v>
      </c>
      <c r="DN31" s="430" t="e">
        <f t="shared" si="4"/>
        <v>#REF!</v>
      </c>
      <c r="DO31" s="430" t="e">
        <f t="shared" si="5"/>
        <v>#REF!</v>
      </c>
      <c r="DP31" s="241">
        <f t="shared" si="6"/>
        <v>0</v>
      </c>
      <c r="DQ31" s="241">
        <f t="shared" si="7"/>
        <v>0</v>
      </c>
      <c r="DR31" s="241">
        <f t="shared" si="8"/>
        <v>208153.88364166056</v>
      </c>
    </row>
    <row r="32" spans="1:122">
      <c r="A32" s="241">
        <v>34100.550082273541</v>
      </c>
      <c r="B32" s="241">
        <v>4275.8201640044881</v>
      </c>
      <c r="C32" s="241">
        <v>0</v>
      </c>
      <c r="D32" s="241">
        <v>0</v>
      </c>
      <c r="E32" s="241">
        <v>0</v>
      </c>
      <c r="F32" s="495">
        <v>0</v>
      </c>
      <c r="G32" s="495">
        <v>0</v>
      </c>
      <c r="H32" s="53">
        <v>1</v>
      </c>
      <c r="I32" s="241"/>
      <c r="J32" s="241">
        <v>0</v>
      </c>
      <c r="K32" s="241">
        <v>0</v>
      </c>
      <c r="L32" s="241">
        <v>0</v>
      </c>
      <c r="M32" s="241">
        <v>3517.4911866707575</v>
      </c>
      <c r="N32" s="495">
        <v>0</v>
      </c>
      <c r="O32" s="241"/>
      <c r="P32" s="241">
        <v>3517.4911866707575</v>
      </c>
      <c r="U32">
        <v>859234</v>
      </c>
      <c r="X32">
        <f t="shared" ref="X32:X78" si="9">IF(X31&lt;99,X31+1,"")</f>
        <v>95</v>
      </c>
      <c r="AA32" s="241">
        <v>3517.4911866707575</v>
      </c>
      <c r="AB32" s="241">
        <v>0</v>
      </c>
      <c r="AC32" t="s">
        <v>1263</v>
      </c>
      <c r="AE32" s="241"/>
      <c r="AJ32" s="495"/>
      <c r="AK32" s="495"/>
      <c r="AL32" s="495"/>
      <c r="AM32" s="495"/>
      <c r="AN32" s="495"/>
      <c r="AO32" s="491"/>
      <c r="AP32" s="495"/>
      <c r="AQ32" s="495"/>
      <c r="AR32" s="495"/>
      <c r="AS32" s="495"/>
      <c r="AT32" s="495"/>
      <c r="AU32" s="495"/>
      <c r="AV32" s="495"/>
      <c r="AW32" s="489"/>
      <c r="AX32" s="489"/>
      <c r="AY32" s="489"/>
      <c r="AZ32" s="489"/>
      <c r="BA32" s="489"/>
      <c r="BO32" s="495"/>
      <c r="BP32" s="495"/>
      <c r="BQ32" s="495"/>
      <c r="BR32" s="495"/>
      <c r="BS32" s="495"/>
      <c r="BT32" s="491"/>
      <c r="BU32" s="495"/>
      <c r="BV32" s="495"/>
      <c r="BW32" s="495"/>
      <c r="BX32" s="495"/>
      <c r="BY32" s="495"/>
      <c r="BZ32" s="495"/>
      <c r="CA32" s="495"/>
      <c r="CB32" s="489"/>
      <c r="CC32" s="489"/>
      <c r="CD32" s="489"/>
      <c r="CE32" s="489"/>
      <c r="CF32" s="489"/>
      <c r="CL32" s="495">
        <v>33970.550082273548</v>
      </c>
      <c r="CM32" s="495">
        <v>5863.9350277259337</v>
      </c>
      <c r="CN32" s="495">
        <v>0</v>
      </c>
      <c r="CO32" s="495">
        <v>26159.472903402973</v>
      </c>
      <c r="CP32" s="495">
        <v>1.210761536333367E-4</v>
      </c>
      <c r="CQ32" s="491">
        <v>1</v>
      </c>
      <c r="CR32" s="495"/>
      <c r="CS32" s="495">
        <v>0</v>
      </c>
      <c r="CT32" s="495">
        <v>0</v>
      </c>
      <c r="CU32" s="495">
        <v>186855.79652246478</v>
      </c>
      <c r="CV32" s="495">
        <v>0</v>
      </c>
      <c r="CW32" s="495"/>
      <c r="CX32" s="495">
        <v>186855.80344110212</v>
      </c>
      <c r="CY32" s="489"/>
      <c r="CZ32" s="489"/>
      <c r="DA32" s="489"/>
      <c r="DB32" s="489"/>
      <c r="DC32" s="489">
        <v>695865</v>
      </c>
      <c r="DG32" s="430" t="e">
        <f>#REF!</f>
        <v>#REF!</v>
      </c>
      <c r="DH32" s="430" t="e">
        <f>#REF!</f>
        <v>#REF!</v>
      </c>
      <c r="DI32" s="241">
        <f t="shared" si="1"/>
        <v>0</v>
      </c>
      <c r="DJ32" s="241">
        <f t="shared" si="2"/>
        <v>0</v>
      </c>
      <c r="DK32" s="241">
        <f t="shared" si="3"/>
        <v>65993.958134478613</v>
      </c>
      <c r="DN32" s="430" t="e">
        <f t="shared" si="4"/>
        <v>#REF!</v>
      </c>
      <c r="DO32" s="430" t="e">
        <f t="shared" si="5"/>
        <v>#REF!</v>
      </c>
      <c r="DP32" s="241">
        <f t="shared" si="6"/>
        <v>0</v>
      </c>
      <c r="DQ32" s="241">
        <f t="shared" si="7"/>
        <v>0</v>
      </c>
      <c r="DR32" s="241">
        <f t="shared" si="8"/>
        <v>186855.80344110212</v>
      </c>
    </row>
    <row r="33" spans="1:122">
      <c r="A33" s="241">
        <v>34093.980568071747</v>
      </c>
      <c r="B33" s="241">
        <v>4171.5318673214515</v>
      </c>
      <c r="C33" s="241">
        <v>0</v>
      </c>
      <c r="D33" s="241">
        <v>0</v>
      </c>
      <c r="E33" s="241">
        <v>0</v>
      </c>
      <c r="F33" s="495">
        <v>0</v>
      </c>
      <c r="G33" s="495">
        <v>0</v>
      </c>
      <c r="H33" s="53">
        <v>1</v>
      </c>
      <c r="I33" s="241"/>
      <c r="J33" s="241">
        <v>0</v>
      </c>
      <c r="K33" s="241">
        <v>0</v>
      </c>
      <c r="L33" s="241">
        <v>0</v>
      </c>
      <c r="M33" s="241">
        <v>3345.9062507355989</v>
      </c>
      <c r="N33" s="495">
        <v>0</v>
      </c>
      <c r="O33" s="241"/>
      <c r="P33" s="241">
        <v>3345.9062507355989</v>
      </c>
      <c r="U33">
        <v>893328</v>
      </c>
      <c r="X33">
        <f t="shared" si="9"/>
        <v>96</v>
      </c>
      <c r="AA33" s="241">
        <v>3345.9062507355989</v>
      </c>
      <c r="AB33" s="241">
        <v>0</v>
      </c>
      <c r="AC33" t="s">
        <v>1263</v>
      </c>
      <c r="AE33" s="241"/>
      <c r="AJ33" s="495"/>
      <c r="AK33" s="495"/>
      <c r="AL33" s="495"/>
      <c r="AM33" s="495"/>
      <c r="AN33" s="495"/>
      <c r="AO33" s="491"/>
      <c r="AP33" s="495"/>
      <c r="AQ33" s="495"/>
      <c r="AR33" s="495"/>
      <c r="AS33" s="495"/>
      <c r="AT33" s="495"/>
      <c r="AU33" s="495"/>
      <c r="AV33" s="495"/>
      <c r="AW33" s="489"/>
      <c r="AX33" s="489"/>
      <c r="AY33" s="489"/>
      <c r="AZ33" s="489"/>
      <c r="BA33" s="489"/>
      <c r="BO33" s="495"/>
      <c r="BP33" s="495"/>
      <c r="BQ33" s="495"/>
      <c r="BR33" s="495"/>
      <c r="BS33" s="495"/>
      <c r="BT33" s="491"/>
      <c r="BU33" s="495"/>
      <c r="BV33" s="495"/>
      <c r="BW33" s="495"/>
      <c r="BX33" s="495"/>
      <c r="BY33" s="495"/>
      <c r="BZ33" s="495"/>
      <c r="CA33" s="495"/>
      <c r="CB33" s="489"/>
      <c r="CC33" s="489"/>
      <c r="CD33" s="489"/>
      <c r="CE33" s="489"/>
      <c r="CF33" s="489"/>
      <c r="CL33" s="495">
        <v>33963.980568071755</v>
      </c>
      <c r="CM33" s="495">
        <v>5720.9122221716425</v>
      </c>
      <c r="CN33" s="495">
        <v>0</v>
      </c>
      <c r="CO33" s="495">
        <v>23482.772328725572</v>
      </c>
      <c r="CP33" s="495">
        <v>1.1954793632833057E-4</v>
      </c>
      <c r="CQ33" s="491">
        <v>1</v>
      </c>
      <c r="CR33" s="495"/>
      <c r="CS33" s="495">
        <v>0</v>
      </c>
      <c r="CT33" s="495">
        <v>0</v>
      </c>
      <c r="CU33" s="495">
        <v>167736.97876367101</v>
      </c>
      <c r="CV33" s="495">
        <v>0</v>
      </c>
      <c r="CW33" s="495"/>
      <c r="CX33" s="495">
        <v>167736.98559498167</v>
      </c>
      <c r="CY33" s="489"/>
      <c r="CZ33" s="489"/>
      <c r="DA33" s="489"/>
      <c r="DB33" s="489"/>
      <c r="DC33" s="489">
        <v>729829</v>
      </c>
      <c r="DG33" s="430" t="e">
        <f>#REF!</f>
        <v>#REF!</v>
      </c>
      <c r="DH33" s="430" t="e">
        <f>#REF!</f>
        <v>#REF!</v>
      </c>
      <c r="DI33" s="241">
        <f t="shared" si="1"/>
        <v>0</v>
      </c>
      <c r="DJ33" s="241">
        <f t="shared" si="2"/>
        <v>0</v>
      </c>
      <c r="DK33" s="241">
        <f t="shared" si="3"/>
        <v>63167.6652385169</v>
      </c>
      <c r="DN33" s="430" t="e">
        <f t="shared" si="4"/>
        <v>#REF!</v>
      </c>
      <c r="DO33" s="430" t="e">
        <f t="shared" si="5"/>
        <v>#REF!</v>
      </c>
      <c r="DP33" s="241">
        <f t="shared" si="6"/>
        <v>0</v>
      </c>
      <c r="DQ33" s="241">
        <f t="shared" si="7"/>
        <v>0</v>
      </c>
      <c r="DR33" s="241">
        <f t="shared" si="8"/>
        <v>167736.98559498167</v>
      </c>
    </row>
    <row r="34" spans="1:122">
      <c r="A34" s="241">
        <v>34087.571285923659</v>
      </c>
      <c r="B34" s="241">
        <v>4069.7871876306845</v>
      </c>
      <c r="C34" s="241">
        <v>0</v>
      </c>
      <c r="D34" s="241">
        <v>0</v>
      </c>
      <c r="E34" s="241">
        <v>0</v>
      </c>
      <c r="F34" s="495">
        <v>0</v>
      </c>
      <c r="G34" s="495">
        <v>0</v>
      </c>
      <c r="H34" s="53">
        <v>1</v>
      </c>
      <c r="I34" s="241"/>
      <c r="J34" s="241">
        <v>0</v>
      </c>
      <c r="K34" s="241">
        <v>0</v>
      </c>
      <c r="L34" s="241">
        <v>0</v>
      </c>
      <c r="M34" s="241">
        <v>3182.6913116753258</v>
      </c>
      <c r="N34" s="495">
        <v>0</v>
      </c>
      <c r="O34" s="241"/>
      <c r="P34" s="241">
        <v>3182.6913116753258</v>
      </c>
      <c r="U34">
        <v>927416</v>
      </c>
      <c r="X34">
        <f t="shared" si="9"/>
        <v>97</v>
      </c>
      <c r="AA34" s="241">
        <v>3182.6913116753258</v>
      </c>
      <c r="AB34" s="241">
        <v>0</v>
      </c>
      <c r="AC34" t="s">
        <v>1263</v>
      </c>
      <c r="AE34" s="241"/>
      <c r="AJ34" s="495"/>
      <c r="AK34" s="495"/>
      <c r="AL34" s="495"/>
      <c r="AM34" s="495"/>
      <c r="AN34" s="495"/>
      <c r="AO34" s="491"/>
      <c r="AP34" s="495"/>
      <c r="AQ34" s="495"/>
      <c r="AR34" s="495"/>
      <c r="AS34" s="495"/>
      <c r="AT34" s="495"/>
      <c r="AU34" s="495"/>
      <c r="AV34" s="495"/>
      <c r="AW34" s="489"/>
      <c r="AX34" s="489"/>
      <c r="AY34" s="489"/>
      <c r="AZ34" s="489"/>
      <c r="BA34" s="489"/>
      <c r="BO34" s="495"/>
      <c r="BP34" s="495"/>
      <c r="BQ34" s="495"/>
      <c r="BR34" s="495"/>
      <c r="BS34" s="495"/>
      <c r="BT34" s="491"/>
      <c r="BU34" s="495"/>
      <c r="BV34" s="495"/>
      <c r="BW34" s="495"/>
      <c r="BX34" s="495"/>
      <c r="BY34" s="495"/>
      <c r="BZ34" s="495"/>
      <c r="CA34" s="495"/>
      <c r="CB34" s="489"/>
      <c r="CC34" s="489"/>
      <c r="CD34" s="489"/>
      <c r="CE34" s="489"/>
      <c r="CF34" s="489"/>
      <c r="CL34" s="495">
        <v>33957.571285923659</v>
      </c>
      <c r="CM34" s="495">
        <v>5581.3777777284313</v>
      </c>
      <c r="CN34" s="495">
        <v>0</v>
      </c>
      <c r="CO34" s="495">
        <v>21080.02164209168</v>
      </c>
      <c r="CP34" s="495">
        <v>1.1803900810760104E-4</v>
      </c>
      <c r="CQ34" s="491">
        <v>1</v>
      </c>
      <c r="CR34" s="495"/>
      <c r="CS34" s="495">
        <v>0</v>
      </c>
      <c r="CT34" s="495">
        <v>0</v>
      </c>
      <c r="CU34" s="495">
        <v>150574.47385914321</v>
      </c>
      <c r="CV34" s="495">
        <v>0</v>
      </c>
      <c r="CW34" s="495"/>
      <c r="CX34" s="495">
        <v>150574.48060422938</v>
      </c>
      <c r="CY34" s="489"/>
      <c r="CZ34" s="489"/>
      <c r="DA34" s="489"/>
      <c r="DB34" s="489"/>
      <c r="DC34" s="489">
        <v>763787</v>
      </c>
      <c r="DG34" s="430" t="e">
        <f>#REF!</f>
        <v>#REF!</v>
      </c>
      <c r="DH34" s="430" t="e">
        <f>#REF!</f>
        <v>#REF!</v>
      </c>
      <c r="DI34" s="241">
        <f t="shared" si="1"/>
        <v>0</v>
      </c>
      <c r="DJ34" s="241">
        <f t="shared" si="2"/>
        <v>0</v>
      </c>
      <c r="DK34" s="241">
        <f t="shared" si="3"/>
        <v>60618.970823782787</v>
      </c>
      <c r="DN34" s="430" t="e">
        <f t="shared" si="4"/>
        <v>#REF!</v>
      </c>
      <c r="DO34" s="430" t="e">
        <f t="shared" si="5"/>
        <v>#REF!</v>
      </c>
      <c r="DP34" s="241">
        <f t="shared" si="6"/>
        <v>0</v>
      </c>
      <c r="DQ34" s="241">
        <f t="shared" si="7"/>
        <v>0</v>
      </c>
      <c r="DR34" s="241">
        <f t="shared" si="8"/>
        <v>150574.48060422938</v>
      </c>
    </row>
    <row r="35" spans="1:122">
      <c r="A35" s="241">
        <v>34081.318327730398</v>
      </c>
      <c r="B35" s="241">
        <v>3970.5240854933509</v>
      </c>
      <c r="C35" s="241">
        <v>0</v>
      </c>
      <c r="D35" s="241">
        <v>0</v>
      </c>
      <c r="E35" s="241">
        <v>0</v>
      </c>
      <c r="F35" s="495">
        <v>0</v>
      </c>
      <c r="G35" s="495">
        <v>0</v>
      </c>
      <c r="H35" s="53">
        <v>1</v>
      </c>
      <c r="I35" s="241"/>
      <c r="J35" s="241">
        <v>0</v>
      </c>
      <c r="K35" s="241">
        <v>0</v>
      </c>
      <c r="L35" s="241">
        <v>0</v>
      </c>
      <c r="M35" s="241">
        <v>3027.4380769594563</v>
      </c>
      <c r="N35" s="495">
        <v>0</v>
      </c>
      <c r="O35" s="241"/>
      <c r="P35" s="241">
        <v>3027.4380769594563</v>
      </c>
      <c r="U35">
        <v>961497</v>
      </c>
      <c r="X35">
        <f t="shared" si="9"/>
        <v>98</v>
      </c>
      <c r="AA35" s="241">
        <v>3027.4380769594563</v>
      </c>
      <c r="AB35" s="241">
        <v>0</v>
      </c>
      <c r="AC35" t="s">
        <v>1263</v>
      </c>
      <c r="AE35" s="241"/>
      <c r="AJ35" s="495"/>
      <c r="AK35" s="495"/>
      <c r="AL35" s="495"/>
      <c r="AM35" s="495"/>
      <c r="AN35" s="495"/>
      <c r="AO35" s="491"/>
      <c r="AP35" s="495"/>
      <c r="AQ35" s="495"/>
      <c r="AR35" s="495"/>
      <c r="AS35" s="495"/>
      <c r="AT35" s="495"/>
      <c r="AU35" s="495"/>
      <c r="AV35" s="495"/>
      <c r="AW35" s="489"/>
      <c r="AX35" s="489"/>
      <c r="AY35" s="489"/>
      <c r="AZ35" s="489"/>
      <c r="BA35" s="489"/>
      <c r="BO35" s="495"/>
      <c r="BP35" s="495"/>
      <c r="BQ35" s="495"/>
      <c r="BR35" s="495"/>
      <c r="BS35" s="495"/>
      <c r="BT35" s="491"/>
      <c r="BU35" s="495"/>
      <c r="BV35" s="495"/>
      <c r="BW35" s="495"/>
      <c r="BX35" s="495"/>
      <c r="BY35" s="495"/>
      <c r="BZ35" s="495"/>
      <c r="CA35" s="495"/>
      <c r="CB35" s="489"/>
      <c r="CC35" s="489"/>
      <c r="CD35" s="489"/>
      <c r="CE35" s="489"/>
      <c r="CF35" s="489"/>
      <c r="CL35" s="495">
        <v>33951.318327730398</v>
      </c>
      <c r="CM35" s="495">
        <v>5445.2466124179819</v>
      </c>
      <c r="CN35" s="495">
        <v>0</v>
      </c>
      <c r="CO35" s="495">
        <v>18923.118380455766</v>
      </c>
      <c r="CP35" s="495">
        <v>1.1654912550526731E-4</v>
      </c>
      <c r="CQ35" s="491">
        <v>1</v>
      </c>
      <c r="CR35" s="495"/>
      <c r="CS35" s="495">
        <v>0</v>
      </c>
      <c r="CT35" s="495">
        <v>0</v>
      </c>
      <c r="CU35" s="495">
        <v>135168.04363240695</v>
      </c>
      <c r="CV35" s="495">
        <v>0</v>
      </c>
      <c r="CW35" s="495"/>
      <c r="CX35" s="495">
        <v>135168.05029235699</v>
      </c>
      <c r="CY35" s="489"/>
      <c r="CZ35" s="489"/>
      <c r="DA35" s="489"/>
      <c r="DB35" s="489"/>
      <c r="DC35" s="489">
        <v>797738</v>
      </c>
      <c r="DG35" s="430" t="e">
        <f>#REF!</f>
        <v>#REF!</v>
      </c>
      <c r="DH35" s="430" t="e">
        <f>#REF!</f>
        <v>#REF!</v>
      </c>
      <c r="DI35" s="241">
        <f t="shared" si="1"/>
        <v>0</v>
      </c>
      <c r="DJ35" s="241">
        <f t="shared" si="2"/>
        <v>0</v>
      </c>
      <c r="DK35" s="241">
        <f t="shared" si="3"/>
        <v>58319.683437153275</v>
      </c>
      <c r="DN35" s="430" t="e">
        <f t="shared" si="4"/>
        <v>#REF!</v>
      </c>
      <c r="DO35" s="430" t="e">
        <f t="shared" si="5"/>
        <v>#REF!</v>
      </c>
      <c r="DP35" s="241">
        <f t="shared" si="6"/>
        <v>0</v>
      </c>
      <c r="DQ35" s="241">
        <f t="shared" si="7"/>
        <v>0</v>
      </c>
      <c r="DR35" s="241">
        <f t="shared" si="8"/>
        <v>135168.05029235699</v>
      </c>
    </row>
    <row r="36" spans="1:122">
      <c r="A36" s="241">
        <v>34075.217880712582</v>
      </c>
      <c r="B36" s="241">
        <v>3873.682034627659</v>
      </c>
      <c r="C36" s="241">
        <v>0</v>
      </c>
      <c r="D36" s="241">
        <v>0</v>
      </c>
      <c r="E36" s="241">
        <v>0</v>
      </c>
      <c r="F36" s="495">
        <v>0</v>
      </c>
      <c r="G36" s="495">
        <v>0</v>
      </c>
      <c r="H36" s="53">
        <v>1</v>
      </c>
      <c r="I36" s="241"/>
      <c r="J36" s="241">
        <v>0</v>
      </c>
      <c r="K36" s="241">
        <v>0</v>
      </c>
      <c r="L36" s="241">
        <v>0</v>
      </c>
      <c r="M36" s="241">
        <v>2879.7581707663117</v>
      </c>
      <c r="N36" s="495">
        <v>0</v>
      </c>
      <c r="O36" s="241"/>
      <c r="P36" s="241">
        <v>2879.7581707663117</v>
      </c>
      <c r="U36">
        <v>995572</v>
      </c>
      <c r="X36">
        <f t="shared" si="9"/>
        <v>99</v>
      </c>
      <c r="AA36" s="241">
        <v>2879.7581707663117</v>
      </c>
      <c r="AB36" s="241">
        <v>0</v>
      </c>
      <c r="AC36" t="s">
        <v>1263</v>
      </c>
      <c r="AE36" s="241"/>
      <c r="AJ36" s="495"/>
      <c r="AK36" s="495"/>
      <c r="AL36" s="495"/>
      <c r="AM36" s="495"/>
      <c r="AN36" s="495"/>
      <c r="AO36" s="491"/>
      <c r="AP36" s="495"/>
      <c r="AQ36" s="495"/>
      <c r="AR36" s="495"/>
      <c r="AS36" s="495"/>
      <c r="AT36" s="495"/>
      <c r="AU36" s="495"/>
      <c r="AV36" s="495"/>
      <c r="AW36" s="489"/>
      <c r="AX36" s="489"/>
      <c r="AY36" s="489"/>
      <c r="AZ36" s="489"/>
      <c r="BA36" s="489"/>
      <c r="BO36" s="495"/>
      <c r="BP36" s="495"/>
      <c r="BQ36" s="495"/>
      <c r="BR36" s="495"/>
      <c r="BS36" s="495"/>
      <c r="BT36" s="491"/>
      <c r="BU36" s="495"/>
      <c r="BV36" s="495"/>
      <c r="BW36" s="495"/>
      <c r="BX36" s="495"/>
      <c r="BY36" s="495"/>
      <c r="BZ36" s="495"/>
      <c r="CA36" s="495"/>
      <c r="CB36" s="489"/>
      <c r="CC36" s="489"/>
      <c r="CD36" s="489"/>
      <c r="CE36" s="489"/>
      <c r="CF36" s="489"/>
      <c r="CL36" s="495">
        <v>33945.217880712589</v>
      </c>
      <c r="CM36" s="495">
        <v>5312.4357194321774</v>
      </c>
      <c r="CN36" s="495">
        <v>0</v>
      </c>
      <c r="CO36" s="495">
        <v>16986.896941778716</v>
      </c>
      <c r="CP36" s="495">
        <v>1.1507804812846303E-4</v>
      </c>
      <c r="CQ36" s="491">
        <v>1</v>
      </c>
      <c r="CR36" s="495"/>
      <c r="CS36" s="495">
        <v>0</v>
      </c>
      <c r="CT36" s="495">
        <v>0</v>
      </c>
      <c r="CU36" s="495">
        <v>121338.00887945523</v>
      </c>
      <c r="CV36" s="495">
        <v>0</v>
      </c>
      <c r="CW36" s="495"/>
      <c r="CX36" s="495">
        <v>121338.01545534369</v>
      </c>
      <c r="CY36" s="489"/>
      <c r="CZ36" s="489"/>
      <c r="DA36" s="489"/>
      <c r="DB36" s="489"/>
      <c r="DC36" s="489">
        <v>831683</v>
      </c>
      <c r="DG36" s="430" t="e">
        <f>#REF!</f>
        <v>#REF!</v>
      </c>
      <c r="DH36" s="430" t="e">
        <f>#REF!</f>
        <v>#REF!</v>
      </c>
      <c r="DI36" s="241">
        <f t="shared" si="1"/>
        <v>0</v>
      </c>
      <c r="DJ36" s="241">
        <f t="shared" si="2"/>
        <v>0</v>
      </c>
      <c r="DK36" s="241">
        <f t="shared" si="3"/>
        <v>56244.550657001535</v>
      </c>
      <c r="DN36" s="430" t="e">
        <f t="shared" si="4"/>
        <v>#REF!</v>
      </c>
      <c r="DO36" s="430" t="e">
        <f t="shared" si="5"/>
        <v>#REF!</v>
      </c>
      <c r="DP36" s="241">
        <f t="shared" si="6"/>
        <v>0</v>
      </c>
      <c r="DQ36" s="241">
        <f t="shared" si="7"/>
        <v>0</v>
      </c>
      <c r="DR36" s="241">
        <f t="shared" si="8"/>
        <v>121338.01545534369</v>
      </c>
    </row>
    <row r="37" spans="1:122">
      <c r="A37" s="241">
        <v>34069.266225085448</v>
      </c>
      <c r="B37" s="241">
        <v>3779.2019850025945</v>
      </c>
      <c r="C37" s="241">
        <v>0</v>
      </c>
      <c r="D37" s="241">
        <v>0</v>
      </c>
      <c r="E37" s="241">
        <v>0</v>
      </c>
      <c r="F37" s="495">
        <v>0</v>
      </c>
      <c r="G37" s="495">
        <v>0</v>
      </c>
      <c r="H37" s="53">
        <v>1</v>
      </c>
      <c r="I37" s="241"/>
      <c r="J37" s="241">
        <v>0</v>
      </c>
      <c r="K37" s="241">
        <v>0</v>
      </c>
      <c r="L37" s="241">
        <v>0</v>
      </c>
      <c r="M37" s="241">
        <v>2739.2821624362477</v>
      </c>
      <c r="N37" s="495">
        <v>0</v>
      </c>
      <c r="O37" s="241"/>
      <c r="P37" s="241">
        <v>2739.2821624362477</v>
      </c>
      <c r="U37">
        <v>1029641</v>
      </c>
      <c r="X37" t="str">
        <f t="shared" si="9"/>
        <v/>
      </c>
      <c r="AA37" s="241">
        <v>2739.2821624362477</v>
      </c>
      <c r="AB37" s="241">
        <v>0</v>
      </c>
      <c r="AC37" t="s">
        <v>1263</v>
      </c>
      <c r="AE37" s="241"/>
      <c r="AJ37" s="495"/>
      <c r="AK37" s="495"/>
      <c r="AL37" s="495"/>
      <c r="AM37" s="495"/>
      <c r="AN37" s="495"/>
      <c r="AO37" s="491"/>
      <c r="AP37" s="495"/>
      <c r="AQ37" s="495"/>
      <c r="AR37" s="495"/>
      <c r="AS37" s="495"/>
      <c r="AT37" s="495"/>
      <c r="AU37" s="495"/>
      <c r="AV37" s="495"/>
      <c r="AW37" s="489"/>
      <c r="AX37" s="489"/>
      <c r="AY37" s="489"/>
      <c r="AZ37" s="489"/>
      <c r="BA37" s="489"/>
      <c r="BO37" s="495"/>
      <c r="BP37" s="495"/>
      <c r="BQ37" s="495"/>
      <c r="BR37" s="495"/>
      <c r="BS37" s="495"/>
      <c r="BT37" s="491"/>
      <c r="BU37" s="495"/>
      <c r="BV37" s="495"/>
      <c r="BW37" s="495"/>
      <c r="BX37" s="495"/>
      <c r="BY37" s="495"/>
      <c r="BZ37" s="495"/>
      <c r="CA37" s="495"/>
      <c r="CB37" s="489"/>
      <c r="CC37" s="489"/>
      <c r="CD37" s="489"/>
      <c r="CE37" s="489"/>
      <c r="CF37" s="489"/>
      <c r="CL37" s="495">
        <v>33939.266225085448</v>
      </c>
      <c r="CM37" s="495">
        <v>5182.8641165191975</v>
      </c>
      <c r="CN37" s="495">
        <v>0</v>
      </c>
      <c r="CO37" s="495">
        <v>15248.807735017894</v>
      </c>
      <c r="CP37" s="495">
        <v>1.136255386185489E-4</v>
      </c>
      <c r="CQ37" s="491">
        <v>1</v>
      </c>
      <c r="CR37" s="495"/>
      <c r="CS37" s="495">
        <v>0</v>
      </c>
      <c r="CT37" s="495">
        <v>0</v>
      </c>
      <c r="CU37" s="495">
        <v>108923.0859740208</v>
      </c>
      <c r="CV37" s="495">
        <v>0</v>
      </c>
      <c r="CW37" s="495"/>
      <c r="CX37" s="495">
        <v>108923.09246690871</v>
      </c>
      <c r="CY37" s="489"/>
      <c r="CZ37" s="489"/>
      <c r="DA37" s="489"/>
      <c r="DB37" s="489"/>
      <c r="DC37" s="489">
        <v>865622</v>
      </c>
      <c r="DG37" s="430" t="e">
        <f>#REF!</f>
        <v>#REF!</v>
      </c>
      <c r="DH37" s="430" t="e">
        <f>#REF!</f>
        <v>#REF!</v>
      </c>
      <c r="DI37" s="241">
        <f t="shared" si="1"/>
        <v>0</v>
      </c>
      <c r="DJ37" s="241">
        <f t="shared" si="2"/>
        <v>0</v>
      </c>
      <c r="DK37" s="241">
        <f t="shared" si="3"/>
        <v>54370.938190248075</v>
      </c>
      <c r="DN37" s="430" t="e">
        <f t="shared" si="4"/>
        <v>#REF!</v>
      </c>
      <c r="DO37" s="430" t="e">
        <f t="shared" si="5"/>
        <v>#REF!</v>
      </c>
      <c r="DP37" s="241">
        <f t="shared" si="6"/>
        <v>0</v>
      </c>
      <c r="DQ37" s="241">
        <f t="shared" si="7"/>
        <v>0</v>
      </c>
      <c r="DR37" s="241">
        <f t="shared" si="8"/>
        <v>108923.09246690871</v>
      </c>
    </row>
    <row r="38" spans="1:122">
      <c r="A38" s="241"/>
      <c r="B38" s="241"/>
      <c r="C38" s="241"/>
      <c r="D38" s="241"/>
      <c r="E38" s="241"/>
      <c r="F38" s="495"/>
      <c r="G38" s="495"/>
      <c r="I38" s="241"/>
      <c r="J38" s="241"/>
      <c r="K38" s="241"/>
      <c r="L38" s="241"/>
      <c r="M38" s="241"/>
      <c r="N38" s="495"/>
      <c r="O38" s="241"/>
      <c r="P38" s="241"/>
      <c r="X38" t="str">
        <f t="shared" si="9"/>
        <v/>
      </c>
      <c r="AJ38" s="495"/>
      <c r="AK38" s="495"/>
      <c r="AL38" s="495"/>
      <c r="AM38" s="495"/>
      <c r="AN38" s="495"/>
      <c r="AO38" s="491"/>
      <c r="AP38" s="495"/>
      <c r="AQ38" s="495"/>
      <c r="AR38" s="495"/>
      <c r="AS38" s="495"/>
      <c r="AT38" s="495"/>
      <c r="AU38" s="495"/>
      <c r="AV38" s="495"/>
      <c r="AW38" s="489"/>
      <c r="AX38" s="489"/>
      <c r="AY38" s="489"/>
      <c r="AZ38" s="489"/>
      <c r="BA38" s="489"/>
      <c r="BO38" s="495"/>
      <c r="BP38" s="495"/>
      <c r="BQ38" s="495"/>
      <c r="BR38" s="495"/>
      <c r="BS38" s="495"/>
      <c r="BT38" s="491"/>
      <c r="BU38" s="495"/>
      <c r="BV38" s="495"/>
      <c r="BW38" s="495"/>
      <c r="BX38" s="495"/>
      <c r="BY38" s="495"/>
      <c r="BZ38" s="495"/>
      <c r="CA38" s="495"/>
      <c r="CB38" s="489"/>
      <c r="CC38" s="489"/>
      <c r="CD38" s="489"/>
      <c r="CE38" s="489"/>
      <c r="CF38" s="489"/>
      <c r="CL38" s="495"/>
      <c r="CM38" s="495"/>
      <c r="CN38" s="495"/>
      <c r="CO38" s="495"/>
      <c r="CP38" s="495"/>
      <c r="CQ38" s="491"/>
      <c r="CR38" s="495"/>
      <c r="CS38" s="495"/>
      <c r="CT38" s="495"/>
      <c r="CU38" s="495"/>
      <c r="CV38" s="495"/>
      <c r="CW38" s="495"/>
      <c r="CX38" s="495"/>
      <c r="CY38" s="489"/>
      <c r="CZ38" s="489"/>
      <c r="DA38" s="489"/>
      <c r="DB38" s="489"/>
      <c r="DC38" s="489"/>
    </row>
    <row r="39" spans="1:122">
      <c r="A39" s="241"/>
      <c r="B39" s="241"/>
      <c r="C39" s="241"/>
      <c r="D39" s="241"/>
      <c r="E39" s="241"/>
      <c r="F39" s="495"/>
      <c r="G39" s="495"/>
      <c r="I39" s="241"/>
      <c r="J39" s="241"/>
      <c r="K39" s="241"/>
      <c r="L39" s="241"/>
      <c r="M39" s="241"/>
      <c r="N39" s="495"/>
      <c r="O39" s="241"/>
      <c r="P39" s="241"/>
      <c r="X39" t="str">
        <f t="shared" si="9"/>
        <v/>
      </c>
      <c r="AJ39" s="495"/>
      <c r="AK39" s="495"/>
      <c r="AL39" s="495"/>
      <c r="AM39" s="495"/>
      <c r="AN39" s="495"/>
      <c r="AO39" s="491"/>
      <c r="AP39" s="495"/>
      <c r="AQ39" s="495"/>
      <c r="AR39" s="495"/>
      <c r="AS39" s="495"/>
      <c r="AT39" s="495"/>
      <c r="AU39" s="495"/>
      <c r="AV39" s="495"/>
      <c r="AW39" s="489"/>
      <c r="AX39" s="489"/>
      <c r="AY39" s="489"/>
      <c r="AZ39" s="489"/>
      <c r="BA39" s="489"/>
      <c r="BO39" s="495"/>
      <c r="BP39" s="495"/>
      <c r="BQ39" s="495"/>
      <c r="BR39" s="495"/>
      <c r="BS39" s="495"/>
      <c r="BT39" s="491"/>
      <c r="BU39" s="495"/>
      <c r="BV39" s="495"/>
      <c r="BW39" s="495"/>
      <c r="BX39" s="495"/>
      <c r="BY39" s="495"/>
      <c r="BZ39" s="495"/>
      <c r="CA39" s="495"/>
      <c r="CB39" s="489"/>
      <c r="CC39" s="489"/>
      <c r="CD39" s="489"/>
      <c r="CE39" s="489"/>
      <c r="CF39" s="489"/>
      <c r="CL39" s="495"/>
      <c r="CM39" s="495"/>
      <c r="CN39" s="495"/>
      <c r="CO39" s="495"/>
      <c r="CP39" s="495"/>
      <c r="CQ39" s="491"/>
      <c r="CR39" s="495"/>
      <c r="CS39" s="495"/>
      <c r="CT39" s="495"/>
      <c r="CU39" s="495"/>
      <c r="CV39" s="495"/>
      <c r="CW39" s="495"/>
      <c r="CX39" s="495"/>
      <c r="CY39" s="489"/>
      <c r="CZ39" s="489"/>
      <c r="DA39" s="489"/>
      <c r="DB39" s="489"/>
      <c r="DC39" s="489"/>
    </row>
    <row r="40" spans="1:122">
      <c r="A40" s="241"/>
      <c r="B40" s="241"/>
      <c r="C40" s="241"/>
      <c r="D40" s="241"/>
      <c r="E40" s="241"/>
      <c r="F40" s="495"/>
      <c r="G40" s="495"/>
      <c r="I40" s="241"/>
      <c r="J40" s="241"/>
      <c r="K40" s="241"/>
      <c r="L40" s="241"/>
      <c r="M40" s="241"/>
      <c r="N40" s="495"/>
      <c r="O40" s="241"/>
      <c r="P40" s="241"/>
      <c r="X40" t="str">
        <f t="shared" si="9"/>
        <v/>
      </c>
      <c r="AJ40" s="495"/>
      <c r="AK40" s="495"/>
      <c r="AL40" s="495"/>
      <c r="AM40" s="495"/>
      <c r="AN40" s="495"/>
      <c r="AO40" s="491"/>
      <c r="AP40" s="495"/>
      <c r="AQ40" s="495"/>
      <c r="AR40" s="495"/>
      <c r="AS40" s="495"/>
      <c r="AT40" s="495"/>
      <c r="AU40" s="495"/>
      <c r="AV40" s="495"/>
      <c r="AW40" s="489"/>
      <c r="AX40" s="489"/>
      <c r="AY40" s="489"/>
      <c r="AZ40" s="489"/>
      <c r="BA40" s="489"/>
      <c r="BO40" s="495"/>
      <c r="BP40" s="495"/>
      <c r="BQ40" s="495"/>
      <c r="BR40" s="495"/>
      <c r="BS40" s="495"/>
      <c r="BT40" s="491"/>
      <c r="BU40" s="495"/>
      <c r="BV40" s="495"/>
      <c r="BW40" s="495"/>
      <c r="BX40" s="495"/>
      <c r="BY40" s="495"/>
      <c r="BZ40" s="495"/>
      <c r="CA40" s="495"/>
      <c r="CB40" s="489"/>
      <c r="CC40" s="489"/>
      <c r="CD40" s="489"/>
      <c r="CE40" s="489"/>
      <c r="CF40" s="489"/>
      <c r="CL40" s="495"/>
      <c r="CM40" s="495"/>
      <c r="CN40" s="495"/>
      <c r="CO40" s="495"/>
      <c r="CP40" s="495"/>
      <c r="CQ40" s="491"/>
      <c r="CR40" s="495"/>
      <c r="CS40" s="495"/>
      <c r="CT40" s="495"/>
      <c r="CU40" s="495"/>
      <c r="CV40" s="495"/>
      <c r="CW40" s="495"/>
      <c r="CX40" s="495"/>
      <c r="CY40" s="489"/>
      <c r="CZ40" s="489"/>
      <c r="DA40" s="489"/>
      <c r="DB40" s="489"/>
      <c r="DC40" s="489"/>
    </row>
    <row r="41" spans="1:122">
      <c r="A41" s="241"/>
      <c r="B41" s="241"/>
      <c r="C41" s="241"/>
      <c r="D41" s="241"/>
      <c r="E41" s="241"/>
      <c r="F41" s="495"/>
      <c r="G41" s="495"/>
      <c r="I41" s="241"/>
      <c r="J41" s="241"/>
      <c r="K41" s="241"/>
      <c r="L41" s="241"/>
      <c r="M41" s="241"/>
      <c r="N41" s="495"/>
      <c r="O41" s="241"/>
      <c r="P41" s="241"/>
      <c r="X41" t="str">
        <f t="shared" si="9"/>
        <v/>
      </c>
      <c r="AJ41" s="495"/>
      <c r="AK41" s="495"/>
      <c r="AL41" s="495"/>
      <c r="AM41" s="495"/>
      <c r="AN41" s="495"/>
      <c r="AO41" s="491"/>
      <c r="AP41" s="495"/>
      <c r="AQ41" s="495"/>
      <c r="AR41" s="495"/>
      <c r="AS41" s="495"/>
      <c r="AT41" s="495"/>
      <c r="AU41" s="495"/>
      <c r="AV41" s="495"/>
      <c r="AW41" s="489"/>
      <c r="AX41" s="489"/>
      <c r="AY41" s="489"/>
      <c r="AZ41" s="489"/>
      <c r="BA41" s="489"/>
      <c r="BO41" s="495"/>
      <c r="BP41" s="495"/>
      <c r="BQ41" s="495"/>
      <c r="BR41" s="495"/>
      <c r="BS41" s="495"/>
      <c r="BT41" s="491"/>
      <c r="BU41" s="495"/>
      <c r="BV41" s="495"/>
      <c r="BW41" s="495"/>
      <c r="BX41" s="495"/>
      <c r="BY41" s="495"/>
      <c r="BZ41" s="495"/>
      <c r="CA41" s="495"/>
      <c r="CB41" s="489"/>
      <c r="CC41" s="489"/>
      <c r="CD41" s="489"/>
      <c r="CE41" s="489"/>
      <c r="CF41" s="489"/>
      <c r="CL41" s="495"/>
      <c r="CM41" s="495"/>
      <c r="CN41" s="495"/>
      <c r="CO41" s="495"/>
      <c r="CP41" s="495"/>
      <c r="CQ41" s="491"/>
      <c r="CR41" s="495"/>
      <c r="CS41" s="495"/>
      <c r="CT41" s="495"/>
      <c r="CU41" s="495"/>
      <c r="CV41" s="495"/>
      <c r="CW41" s="495"/>
      <c r="CX41" s="495"/>
      <c r="CY41" s="489"/>
      <c r="CZ41" s="489"/>
      <c r="DA41" s="489"/>
      <c r="DB41" s="489"/>
      <c r="DC41" s="489"/>
    </row>
    <row r="42" spans="1:122">
      <c r="A42" s="241"/>
      <c r="B42" s="241"/>
      <c r="C42" s="241"/>
      <c r="D42" s="241"/>
      <c r="E42" s="241"/>
      <c r="F42" s="495"/>
      <c r="G42" s="495"/>
      <c r="I42" s="241"/>
      <c r="J42" s="241"/>
      <c r="K42" s="241"/>
      <c r="L42" s="241"/>
      <c r="M42" s="241"/>
      <c r="N42" s="495"/>
      <c r="O42" s="241"/>
      <c r="P42" s="241"/>
      <c r="X42" t="str">
        <f t="shared" si="9"/>
        <v/>
      </c>
      <c r="AJ42" s="495"/>
      <c r="AK42" s="495"/>
      <c r="AL42" s="495"/>
      <c r="AM42" s="495"/>
      <c r="AN42" s="495"/>
      <c r="AO42" s="491"/>
      <c r="AP42" s="495"/>
      <c r="AQ42" s="495"/>
      <c r="AR42" s="495"/>
      <c r="AS42" s="495"/>
      <c r="AT42" s="495"/>
      <c r="AU42" s="495"/>
      <c r="AV42" s="495"/>
      <c r="AW42" s="489"/>
      <c r="AX42" s="489"/>
      <c r="AY42" s="489"/>
      <c r="AZ42" s="489"/>
      <c r="BA42" s="489"/>
      <c r="BO42" s="495"/>
      <c r="BP42" s="495"/>
      <c r="BQ42" s="495"/>
      <c r="BR42" s="495"/>
      <c r="BS42" s="495"/>
      <c r="BT42" s="491"/>
      <c r="BU42" s="495"/>
      <c r="BV42" s="495"/>
      <c r="BW42" s="495"/>
      <c r="BX42" s="495"/>
      <c r="BY42" s="495"/>
      <c r="BZ42" s="495"/>
      <c r="CA42" s="495"/>
      <c r="CB42" s="489"/>
      <c r="CC42" s="489"/>
      <c r="CD42" s="489"/>
      <c r="CE42" s="489"/>
      <c r="CF42" s="489"/>
      <c r="CL42" s="495"/>
      <c r="CM42" s="495"/>
      <c r="CN42" s="495"/>
      <c r="CO42" s="495"/>
      <c r="CP42" s="495"/>
      <c r="CQ42" s="491"/>
      <c r="CR42" s="495"/>
      <c r="CS42" s="495"/>
      <c r="CT42" s="495"/>
      <c r="CU42" s="495"/>
      <c r="CV42" s="495"/>
      <c r="CW42" s="495"/>
      <c r="CX42" s="495"/>
      <c r="CY42" s="489"/>
      <c r="CZ42" s="489"/>
      <c r="DA42" s="489"/>
      <c r="DB42" s="489"/>
      <c r="DC42" s="489"/>
    </row>
    <row r="43" spans="1:122">
      <c r="A43" s="241"/>
      <c r="B43" s="241"/>
      <c r="C43" s="241"/>
      <c r="D43" s="241"/>
      <c r="E43" s="241"/>
      <c r="F43" s="495"/>
      <c r="G43" s="495"/>
      <c r="I43" s="241"/>
      <c r="J43" s="241"/>
      <c r="K43" s="241"/>
      <c r="L43" s="241"/>
      <c r="M43" s="241"/>
      <c r="N43" s="495"/>
      <c r="O43" s="241"/>
      <c r="P43" s="241"/>
      <c r="X43" t="str">
        <f t="shared" si="9"/>
        <v/>
      </c>
      <c r="AJ43" s="495"/>
      <c r="AK43" s="495"/>
      <c r="AL43" s="495"/>
      <c r="AM43" s="495"/>
      <c r="AN43" s="495"/>
      <c r="AO43" s="491"/>
      <c r="AP43" s="495"/>
      <c r="AQ43" s="495"/>
      <c r="AR43" s="495"/>
      <c r="AS43" s="495"/>
      <c r="AT43" s="495"/>
      <c r="AU43" s="495"/>
      <c r="AV43" s="495"/>
      <c r="AW43" s="489"/>
      <c r="AX43" s="489"/>
      <c r="AY43" s="489"/>
      <c r="AZ43" s="489"/>
      <c r="BA43" s="489"/>
      <c r="BO43" s="495"/>
      <c r="BP43" s="495"/>
      <c r="BQ43" s="495"/>
      <c r="BR43" s="495"/>
      <c r="BS43" s="495"/>
      <c r="BT43" s="491"/>
      <c r="BU43" s="495"/>
      <c r="BV43" s="495"/>
      <c r="BW43" s="495"/>
      <c r="BX43" s="495"/>
      <c r="BY43" s="495"/>
      <c r="BZ43" s="495"/>
      <c r="CA43" s="495"/>
      <c r="CB43" s="489"/>
      <c r="CC43" s="489"/>
      <c r="CD43" s="489"/>
      <c r="CE43" s="489"/>
      <c r="CF43" s="489"/>
      <c r="CL43" s="495"/>
      <c r="CM43" s="495"/>
      <c r="CN43" s="495"/>
      <c r="CO43" s="495"/>
      <c r="CP43" s="495"/>
      <c r="CQ43" s="491"/>
      <c r="CR43" s="495"/>
      <c r="CS43" s="495"/>
      <c r="CT43" s="495"/>
      <c r="CU43" s="495"/>
      <c r="CV43" s="495"/>
      <c r="CW43" s="495"/>
      <c r="CX43" s="495"/>
      <c r="CY43" s="489"/>
      <c r="CZ43" s="489"/>
      <c r="DA43" s="489"/>
      <c r="DB43" s="489"/>
      <c r="DC43" s="489"/>
    </row>
    <row r="44" spans="1:122">
      <c r="A44" s="241"/>
      <c r="B44" s="241"/>
      <c r="C44" s="241"/>
      <c r="D44" s="241"/>
      <c r="E44" s="241"/>
      <c r="F44" s="495"/>
      <c r="G44" s="495"/>
      <c r="I44" s="241"/>
      <c r="J44" s="241"/>
      <c r="K44" s="241"/>
      <c r="L44" s="241"/>
      <c r="M44" s="241"/>
      <c r="N44" s="495"/>
      <c r="O44" s="241"/>
      <c r="P44" s="241"/>
      <c r="X44" t="str">
        <f t="shared" si="9"/>
        <v/>
      </c>
      <c r="AJ44" s="495"/>
      <c r="AK44" s="495"/>
      <c r="AL44" s="495"/>
      <c r="AM44" s="495"/>
      <c r="AN44" s="495"/>
      <c r="AO44" s="491"/>
      <c r="AP44" s="495"/>
      <c r="AQ44" s="495"/>
      <c r="AR44" s="495"/>
      <c r="AS44" s="495"/>
      <c r="AT44" s="495"/>
      <c r="AU44" s="495"/>
      <c r="AV44" s="495"/>
      <c r="AW44" s="489"/>
      <c r="AX44" s="489"/>
      <c r="AY44" s="489"/>
      <c r="AZ44" s="489"/>
      <c r="BA44" s="489"/>
      <c r="BO44" s="495"/>
      <c r="BP44" s="495"/>
      <c r="BQ44" s="495"/>
      <c r="BR44" s="495"/>
      <c r="BS44" s="495"/>
      <c r="BT44" s="491"/>
      <c r="BU44" s="495"/>
      <c r="BV44" s="495"/>
      <c r="BW44" s="495"/>
      <c r="BX44" s="495"/>
      <c r="BY44" s="495"/>
      <c r="BZ44" s="495"/>
      <c r="CA44" s="495"/>
      <c r="CB44" s="489"/>
      <c r="CC44" s="489"/>
      <c r="CD44" s="489"/>
      <c r="CE44" s="489"/>
      <c r="CF44" s="489"/>
      <c r="CL44" s="495"/>
      <c r="CM44" s="495"/>
      <c r="CN44" s="495"/>
      <c r="CO44" s="495"/>
      <c r="CP44" s="495"/>
      <c r="CQ44" s="491"/>
      <c r="CR44" s="495"/>
      <c r="CS44" s="495"/>
      <c r="CT44" s="495"/>
      <c r="CU44" s="495"/>
      <c r="CV44" s="495"/>
      <c r="CW44" s="495"/>
      <c r="CX44" s="495"/>
      <c r="CY44" s="489"/>
      <c r="CZ44" s="489"/>
      <c r="DA44" s="489"/>
      <c r="DB44" s="489"/>
      <c r="DC44" s="489"/>
    </row>
    <row r="45" spans="1:122">
      <c r="X45" t="str">
        <f t="shared" si="9"/>
        <v/>
      </c>
      <c r="AJ45" s="489"/>
      <c r="AK45" s="489"/>
      <c r="AL45" s="489"/>
      <c r="AM45" s="489"/>
      <c r="AN45" s="489"/>
      <c r="AO45" s="491"/>
      <c r="AP45" s="489"/>
      <c r="AQ45" s="489"/>
      <c r="AR45" s="489"/>
      <c r="AS45" s="489"/>
      <c r="AT45" s="489"/>
      <c r="AU45" s="489"/>
      <c r="AV45" s="489"/>
      <c r="AW45" s="489"/>
      <c r="AX45" s="489"/>
      <c r="AY45" s="489"/>
      <c r="AZ45" s="489"/>
      <c r="BA45" s="489"/>
      <c r="BO45" s="489"/>
      <c r="BP45" s="489"/>
      <c r="BQ45" s="489"/>
      <c r="BR45" s="489"/>
      <c r="BS45" s="489"/>
      <c r="BT45" s="491"/>
      <c r="BU45" s="489"/>
      <c r="BV45" s="489"/>
      <c r="BW45" s="489"/>
      <c r="BX45" s="489"/>
      <c r="BY45" s="489"/>
      <c r="BZ45" s="489"/>
      <c r="CA45" s="489"/>
      <c r="CB45" s="489"/>
      <c r="CC45" s="489"/>
      <c r="CD45" s="489"/>
      <c r="CE45" s="489"/>
      <c r="CF45" s="489"/>
      <c r="CL45" s="489"/>
      <c r="CM45" s="489"/>
      <c r="CN45" s="489"/>
      <c r="CO45" s="489"/>
      <c r="CP45" s="489"/>
      <c r="CQ45" s="491"/>
      <c r="CR45" s="489"/>
      <c r="CS45" s="489"/>
      <c r="CT45" s="489"/>
      <c r="CU45" s="489"/>
      <c r="CV45" s="489"/>
      <c r="CW45" s="489"/>
      <c r="CX45" s="489"/>
      <c r="CY45" s="489"/>
      <c r="CZ45" s="489"/>
      <c r="DA45" s="489"/>
      <c r="DB45" s="489"/>
      <c r="DC45" s="489"/>
    </row>
    <row r="46" spans="1:122">
      <c r="X46" t="str">
        <f t="shared" si="9"/>
        <v/>
      </c>
      <c r="AJ46" s="489"/>
      <c r="AK46" s="489"/>
      <c r="AL46" s="489"/>
      <c r="AM46" s="489"/>
      <c r="AN46" s="489"/>
      <c r="AO46" s="491"/>
      <c r="AP46" s="489"/>
      <c r="AQ46" s="489"/>
      <c r="AR46" s="489"/>
      <c r="AS46" s="489"/>
      <c r="AT46" s="489"/>
      <c r="AU46" s="489"/>
      <c r="AV46" s="489"/>
      <c r="AW46" s="489"/>
      <c r="AX46" s="489"/>
      <c r="AY46" s="489"/>
      <c r="AZ46" s="489"/>
      <c r="BA46" s="489"/>
      <c r="BO46" s="489"/>
      <c r="BP46" s="489"/>
      <c r="BQ46" s="489"/>
      <c r="BR46" s="489"/>
      <c r="BS46" s="489"/>
      <c r="BT46" s="491"/>
      <c r="BU46" s="489"/>
      <c r="BV46" s="489"/>
      <c r="BW46" s="489"/>
      <c r="BX46" s="489"/>
      <c r="BY46" s="489"/>
      <c r="BZ46" s="489"/>
      <c r="CA46" s="489"/>
      <c r="CB46" s="489"/>
      <c r="CC46" s="489"/>
      <c r="CD46" s="489"/>
      <c r="CE46" s="489"/>
      <c r="CF46" s="489"/>
      <c r="CL46" s="489"/>
      <c r="CM46" s="489"/>
      <c r="CN46" s="489"/>
      <c r="CO46" s="489"/>
      <c r="CP46" s="489"/>
      <c r="CQ46" s="491"/>
      <c r="CR46" s="489"/>
      <c r="CS46" s="489"/>
      <c r="CT46" s="489"/>
      <c r="CU46" s="489"/>
      <c r="CV46" s="489"/>
      <c r="CW46" s="489"/>
      <c r="CX46" s="489"/>
      <c r="CY46" s="489"/>
      <c r="CZ46" s="489"/>
      <c r="DA46" s="489"/>
      <c r="DB46" s="489"/>
      <c r="DC46" s="489"/>
    </row>
    <row r="47" spans="1:122">
      <c r="X47" t="str">
        <f t="shared" si="9"/>
        <v/>
      </c>
      <c r="AJ47" s="489"/>
      <c r="AK47" s="489"/>
      <c r="AL47" s="489"/>
      <c r="AM47" s="489"/>
      <c r="AN47" s="489"/>
      <c r="AO47" s="491"/>
      <c r="AP47" s="489"/>
      <c r="AQ47" s="489"/>
      <c r="AR47" s="489"/>
      <c r="AS47" s="489"/>
      <c r="AT47" s="489"/>
      <c r="AU47" s="489"/>
      <c r="AV47" s="489"/>
      <c r="AW47" s="489"/>
      <c r="AX47" s="489"/>
      <c r="AY47" s="489"/>
      <c r="AZ47" s="489"/>
      <c r="BA47" s="489"/>
      <c r="BO47" s="489"/>
      <c r="BP47" s="489"/>
      <c r="BQ47" s="489"/>
      <c r="BR47" s="489"/>
      <c r="BS47" s="489"/>
      <c r="BT47" s="491"/>
      <c r="BU47" s="489"/>
      <c r="BV47" s="489"/>
      <c r="BW47" s="489"/>
      <c r="BX47" s="489"/>
      <c r="BY47" s="489"/>
      <c r="BZ47" s="489"/>
      <c r="CA47" s="489"/>
      <c r="CB47" s="489"/>
      <c r="CC47" s="489"/>
      <c r="CD47" s="489"/>
      <c r="CE47" s="489"/>
      <c r="CF47" s="489"/>
      <c r="CL47" s="489"/>
      <c r="CM47" s="489"/>
      <c r="CN47" s="489"/>
      <c r="CO47" s="489"/>
      <c r="CP47" s="489"/>
      <c r="CQ47" s="491"/>
      <c r="CR47" s="489"/>
      <c r="CS47" s="489"/>
      <c r="CT47" s="489"/>
      <c r="CU47" s="489"/>
      <c r="CV47" s="489"/>
      <c r="CW47" s="489"/>
      <c r="CX47" s="489"/>
      <c r="CY47" s="489"/>
      <c r="CZ47" s="489"/>
      <c r="DA47" s="489"/>
      <c r="DB47" s="489"/>
      <c r="DC47" s="489"/>
    </row>
    <row r="48" spans="1:122">
      <c r="X48" t="str">
        <f t="shared" si="9"/>
        <v/>
      </c>
      <c r="AJ48" s="489"/>
      <c r="AK48" s="489"/>
      <c r="AL48" s="489"/>
      <c r="AM48" s="489"/>
      <c r="AN48" s="489"/>
      <c r="AO48" s="491"/>
      <c r="AP48" s="489"/>
      <c r="AQ48" s="489"/>
      <c r="AR48" s="489"/>
      <c r="AS48" s="489"/>
      <c r="AT48" s="489"/>
      <c r="AU48" s="489"/>
      <c r="AV48" s="489"/>
      <c r="AW48" s="489"/>
      <c r="AX48" s="489"/>
      <c r="AY48" s="489"/>
      <c r="AZ48" s="489"/>
      <c r="BA48" s="489"/>
      <c r="BO48" s="489"/>
      <c r="BP48" s="489"/>
      <c r="BQ48" s="489"/>
      <c r="BR48" s="489"/>
      <c r="BS48" s="489"/>
      <c r="BT48" s="491"/>
      <c r="BU48" s="489"/>
      <c r="BV48" s="489"/>
      <c r="BW48" s="489"/>
      <c r="BX48" s="489"/>
      <c r="BY48" s="489"/>
      <c r="BZ48" s="489"/>
      <c r="CA48" s="489"/>
      <c r="CB48" s="489"/>
      <c r="CC48" s="489"/>
      <c r="CD48" s="489"/>
      <c r="CE48" s="489"/>
      <c r="CF48" s="489"/>
      <c r="CL48" s="489"/>
      <c r="CM48" s="489"/>
      <c r="CN48" s="489"/>
      <c r="CO48" s="489"/>
      <c r="CP48" s="489"/>
      <c r="CQ48" s="491"/>
      <c r="CR48" s="489"/>
      <c r="CS48" s="489"/>
      <c r="CT48" s="489"/>
      <c r="CU48" s="489"/>
      <c r="CV48" s="489"/>
      <c r="CW48" s="489"/>
      <c r="CX48" s="489"/>
      <c r="CY48" s="489"/>
      <c r="CZ48" s="489"/>
      <c r="DA48" s="489"/>
      <c r="DB48" s="489"/>
      <c r="DC48" s="489"/>
    </row>
    <row r="49" spans="24:107">
      <c r="X49" t="str">
        <f t="shared" si="9"/>
        <v/>
      </c>
      <c r="AJ49" s="489"/>
      <c r="AK49" s="489"/>
      <c r="AL49" s="489"/>
      <c r="AM49" s="489"/>
      <c r="AN49" s="489"/>
      <c r="AO49" s="491"/>
      <c r="AP49" s="489"/>
      <c r="AQ49" s="489"/>
      <c r="AR49" s="489"/>
      <c r="AS49" s="489"/>
      <c r="AT49" s="489"/>
      <c r="AU49" s="489"/>
      <c r="AV49" s="489"/>
      <c r="AW49" s="489"/>
      <c r="AX49" s="489"/>
      <c r="AY49" s="489"/>
      <c r="AZ49" s="489"/>
      <c r="BA49" s="489"/>
      <c r="BO49" s="489"/>
      <c r="BP49" s="489"/>
      <c r="BQ49" s="489"/>
      <c r="BR49" s="489"/>
      <c r="BS49" s="489"/>
      <c r="BT49" s="491"/>
      <c r="BU49" s="489"/>
      <c r="BV49" s="489"/>
      <c r="BW49" s="489"/>
      <c r="BX49" s="489"/>
      <c r="BY49" s="489"/>
      <c r="BZ49" s="489"/>
      <c r="CA49" s="489"/>
      <c r="CB49" s="489"/>
      <c r="CC49" s="489"/>
      <c r="CD49" s="489"/>
      <c r="CE49" s="489"/>
      <c r="CF49" s="489"/>
      <c r="CL49" s="489"/>
      <c r="CM49" s="489"/>
      <c r="CN49" s="489"/>
      <c r="CO49" s="489"/>
      <c r="CP49" s="489"/>
      <c r="CQ49" s="491"/>
      <c r="CR49" s="489"/>
      <c r="CS49" s="489"/>
      <c r="CT49" s="489"/>
      <c r="CU49" s="489"/>
      <c r="CV49" s="489"/>
      <c r="CW49" s="489"/>
      <c r="CX49" s="489"/>
      <c r="CY49" s="489"/>
      <c r="CZ49" s="489"/>
      <c r="DA49" s="489"/>
      <c r="DB49" s="489"/>
      <c r="DC49" s="489"/>
    </row>
    <row r="50" spans="24:107">
      <c r="X50" t="str">
        <f t="shared" si="9"/>
        <v/>
      </c>
      <c r="AJ50" s="489"/>
      <c r="AK50" s="489"/>
      <c r="AL50" s="489"/>
      <c r="AM50" s="489"/>
      <c r="AN50" s="489"/>
      <c r="AO50" s="491"/>
      <c r="AP50" s="489"/>
      <c r="AQ50" s="489"/>
      <c r="AR50" s="489"/>
      <c r="AS50" s="489"/>
      <c r="AT50" s="489"/>
      <c r="AU50" s="489"/>
      <c r="AV50" s="489"/>
      <c r="AW50" s="489"/>
      <c r="AX50" s="489"/>
      <c r="AY50" s="489"/>
      <c r="AZ50" s="489"/>
      <c r="BA50" s="489"/>
      <c r="BO50" s="489"/>
      <c r="BP50" s="489"/>
      <c r="BQ50" s="489"/>
      <c r="BR50" s="489"/>
      <c r="BS50" s="489"/>
      <c r="BT50" s="491"/>
      <c r="BU50" s="489"/>
      <c r="BV50" s="489"/>
      <c r="BW50" s="489"/>
      <c r="BX50" s="489"/>
      <c r="BY50" s="489"/>
      <c r="BZ50" s="489"/>
      <c r="CA50" s="489"/>
      <c r="CB50" s="489"/>
      <c r="CC50" s="489"/>
      <c r="CD50" s="489"/>
      <c r="CE50" s="489"/>
      <c r="CF50" s="489"/>
      <c r="CL50" s="489"/>
      <c r="CM50" s="489"/>
      <c r="CN50" s="489"/>
      <c r="CO50" s="489"/>
      <c r="CP50" s="489"/>
      <c r="CQ50" s="491"/>
      <c r="CR50" s="489"/>
      <c r="CS50" s="489"/>
      <c r="CT50" s="489"/>
      <c r="CU50" s="489"/>
      <c r="CV50" s="489"/>
      <c r="CW50" s="489"/>
      <c r="CX50" s="489"/>
      <c r="CY50" s="489"/>
      <c r="CZ50" s="489"/>
      <c r="DA50" s="489"/>
      <c r="DB50" s="489"/>
      <c r="DC50" s="489"/>
    </row>
    <row r="51" spans="24:107">
      <c r="X51" t="str">
        <f t="shared" si="9"/>
        <v/>
      </c>
      <c r="AJ51" s="489"/>
      <c r="AK51" s="489"/>
      <c r="AL51" s="489"/>
      <c r="AM51" s="489"/>
      <c r="AN51" s="489"/>
      <c r="AO51" s="491"/>
      <c r="AP51" s="489"/>
      <c r="AQ51" s="489"/>
      <c r="AR51" s="489"/>
      <c r="AS51" s="489"/>
      <c r="AT51" s="489"/>
      <c r="AU51" s="489"/>
      <c r="AV51" s="489"/>
      <c r="AW51" s="489"/>
      <c r="AX51" s="489"/>
      <c r="AY51" s="489"/>
      <c r="AZ51" s="489"/>
      <c r="BA51" s="489"/>
      <c r="BO51" s="489"/>
      <c r="BP51" s="489"/>
      <c r="BQ51" s="489"/>
      <c r="BR51" s="489"/>
      <c r="BS51" s="489"/>
      <c r="BT51" s="491"/>
      <c r="BU51" s="489"/>
      <c r="BV51" s="489"/>
      <c r="BW51" s="489"/>
      <c r="BX51" s="489"/>
      <c r="BY51" s="489"/>
      <c r="BZ51" s="489"/>
      <c r="CA51" s="489"/>
      <c r="CB51" s="489"/>
      <c r="CC51" s="489"/>
      <c r="CD51" s="489"/>
      <c r="CE51" s="489"/>
      <c r="CF51" s="489"/>
      <c r="CL51" s="489"/>
      <c r="CM51" s="489"/>
      <c r="CN51" s="489"/>
      <c r="CO51" s="489"/>
      <c r="CP51" s="489"/>
      <c r="CQ51" s="491"/>
      <c r="CR51" s="489"/>
      <c r="CS51" s="489"/>
      <c r="CT51" s="489"/>
      <c r="CU51" s="489"/>
      <c r="CV51" s="489"/>
      <c r="CW51" s="489"/>
      <c r="CX51" s="489"/>
      <c r="CY51" s="489"/>
      <c r="CZ51" s="489"/>
      <c r="DA51" s="489"/>
      <c r="DB51" s="489"/>
      <c r="DC51" s="489"/>
    </row>
    <row r="52" spans="24:107">
      <c r="X52" t="str">
        <f t="shared" si="9"/>
        <v/>
      </c>
      <c r="AJ52" s="489"/>
      <c r="AK52" s="489"/>
      <c r="AL52" s="489"/>
      <c r="AM52" s="489"/>
      <c r="AN52" s="489"/>
      <c r="AO52" s="491"/>
      <c r="AP52" s="489"/>
      <c r="AQ52" s="489"/>
      <c r="AR52" s="489"/>
      <c r="AS52" s="489"/>
      <c r="AT52" s="489"/>
      <c r="AU52" s="489"/>
      <c r="AV52" s="489"/>
      <c r="AW52" s="489"/>
      <c r="AX52" s="489"/>
      <c r="AY52" s="489"/>
      <c r="AZ52" s="489"/>
      <c r="BA52" s="489"/>
      <c r="BO52" s="489"/>
      <c r="BP52" s="489"/>
      <c r="BQ52" s="489"/>
      <c r="BR52" s="489"/>
      <c r="BS52" s="489"/>
      <c r="BT52" s="491"/>
      <c r="BU52" s="489"/>
      <c r="BV52" s="489"/>
      <c r="BW52" s="489"/>
      <c r="BX52" s="489"/>
      <c r="BY52" s="489"/>
      <c r="BZ52" s="489"/>
      <c r="CA52" s="489"/>
      <c r="CB52" s="489"/>
      <c r="CC52" s="489"/>
      <c r="CD52" s="489"/>
      <c r="CE52" s="489"/>
      <c r="CF52" s="489"/>
      <c r="CL52" s="489"/>
      <c r="CM52" s="489"/>
      <c r="CN52" s="489"/>
      <c r="CO52" s="489"/>
      <c r="CP52" s="489"/>
      <c r="CQ52" s="491"/>
      <c r="CR52" s="489"/>
      <c r="CS52" s="489"/>
      <c r="CT52" s="489"/>
      <c r="CU52" s="489"/>
      <c r="CV52" s="489"/>
      <c r="CW52" s="489"/>
      <c r="CX52" s="489"/>
      <c r="CY52" s="489"/>
      <c r="CZ52" s="489"/>
      <c r="DA52" s="489"/>
      <c r="DB52" s="489"/>
      <c r="DC52" s="489"/>
    </row>
    <row r="53" spans="24:107">
      <c r="X53" t="str">
        <f t="shared" si="9"/>
        <v/>
      </c>
      <c r="AJ53" s="489"/>
      <c r="AK53" s="489"/>
      <c r="AL53" s="489"/>
      <c r="AM53" s="489"/>
      <c r="AN53" s="489"/>
      <c r="AO53" s="491"/>
      <c r="AP53" s="489"/>
      <c r="AQ53" s="489"/>
      <c r="AR53" s="489"/>
      <c r="AS53" s="489"/>
      <c r="AT53" s="489"/>
      <c r="AU53" s="489"/>
      <c r="AV53" s="489"/>
      <c r="AW53" s="489"/>
      <c r="AX53" s="489"/>
      <c r="AY53" s="489"/>
      <c r="AZ53" s="489"/>
      <c r="BA53" s="489"/>
      <c r="BO53" s="489"/>
      <c r="BP53" s="489"/>
      <c r="BQ53" s="489"/>
      <c r="BR53" s="489"/>
      <c r="BS53" s="489"/>
      <c r="BT53" s="491"/>
      <c r="BU53" s="489"/>
      <c r="BV53" s="489"/>
      <c r="BW53" s="489"/>
      <c r="BX53" s="489"/>
      <c r="BY53" s="489"/>
      <c r="BZ53" s="489"/>
      <c r="CA53" s="489"/>
      <c r="CB53" s="489"/>
      <c r="CC53" s="489"/>
      <c r="CD53" s="489"/>
      <c r="CE53" s="489"/>
      <c r="CF53" s="489"/>
      <c r="CL53" s="489"/>
      <c r="CM53" s="489"/>
      <c r="CN53" s="489"/>
      <c r="CO53" s="489"/>
      <c r="CP53" s="489"/>
      <c r="CQ53" s="491"/>
      <c r="CR53" s="489"/>
      <c r="CS53" s="489"/>
      <c r="CT53" s="489"/>
      <c r="CU53" s="489"/>
      <c r="CV53" s="489"/>
      <c r="CW53" s="489"/>
      <c r="CX53" s="489"/>
      <c r="CY53" s="489"/>
      <c r="CZ53" s="489"/>
      <c r="DA53" s="489"/>
      <c r="DB53" s="489"/>
      <c r="DC53" s="489"/>
    </row>
    <row r="54" spans="24:107">
      <c r="X54" t="str">
        <f t="shared" si="9"/>
        <v/>
      </c>
      <c r="AJ54" s="489"/>
      <c r="AK54" s="489"/>
      <c r="AL54" s="489"/>
      <c r="AM54" s="489"/>
      <c r="AN54" s="489"/>
      <c r="AO54" s="491"/>
      <c r="AP54" s="489"/>
      <c r="AQ54" s="489"/>
      <c r="AR54" s="489"/>
      <c r="AS54" s="489"/>
      <c r="AT54" s="489"/>
      <c r="AU54" s="489"/>
      <c r="AV54" s="489"/>
      <c r="AW54" s="489"/>
      <c r="AX54" s="489"/>
      <c r="AY54" s="489"/>
      <c r="AZ54" s="489"/>
      <c r="BA54" s="489"/>
      <c r="BO54" s="489"/>
      <c r="BP54" s="489"/>
      <c r="BQ54" s="489"/>
      <c r="BR54" s="489"/>
      <c r="BS54" s="489"/>
      <c r="BT54" s="491"/>
      <c r="BU54" s="489"/>
      <c r="BV54" s="489"/>
      <c r="BW54" s="489"/>
      <c r="BX54" s="489"/>
      <c r="BY54" s="489"/>
      <c r="BZ54" s="489"/>
      <c r="CA54" s="489"/>
      <c r="CB54" s="489"/>
      <c r="CC54" s="489"/>
      <c r="CD54" s="489"/>
      <c r="CE54" s="489"/>
      <c r="CF54" s="489"/>
      <c r="CL54" s="489"/>
      <c r="CM54" s="489"/>
      <c r="CN54" s="489"/>
      <c r="CO54" s="489"/>
      <c r="CP54" s="489"/>
      <c r="CQ54" s="491"/>
      <c r="CR54" s="489"/>
      <c r="CS54" s="489"/>
      <c r="CT54" s="489"/>
      <c r="CU54" s="489"/>
      <c r="CV54" s="489"/>
      <c r="CW54" s="489"/>
      <c r="CX54" s="489"/>
      <c r="CY54" s="489"/>
      <c r="CZ54" s="489"/>
      <c r="DA54" s="489"/>
      <c r="DB54" s="489"/>
      <c r="DC54" s="489"/>
    </row>
    <row r="55" spans="24:107">
      <c r="X55" t="str">
        <f t="shared" si="9"/>
        <v/>
      </c>
      <c r="AJ55" s="489"/>
      <c r="AK55" s="489"/>
      <c r="AL55" s="489"/>
      <c r="AM55" s="489"/>
      <c r="AN55" s="489"/>
      <c r="AO55" s="491"/>
      <c r="AP55" s="489"/>
      <c r="AQ55" s="489"/>
      <c r="AR55" s="489"/>
      <c r="AS55" s="489"/>
      <c r="AT55" s="489"/>
      <c r="AU55" s="489"/>
      <c r="AV55" s="489"/>
      <c r="AW55" s="489"/>
      <c r="AX55" s="489"/>
      <c r="AY55" s="489"/>
      <c r="AZ55" s="489"/>
      <c r="BA55" s="489"/>
      <c r="BO55" s="489"/>
      <c r="BP55" s="489"/>
      <c r="BQ55" s="489"/>
      <c r="BR55" s="489"/>
      <c r="BS55" s="489"/>
      <c r="BT55" s="491"/>
      <c r="BU55" s="489"/>
      <c r="BV55" s="489"/>
      <c r="BW55" s="489"/>
      <c r="BX55" s="489"/>
      <c r="BY55" s="489"/>
      <c r="BZ55" s="489"/>
      <c r="CA55" s="489"/>
      <c r="CB55" s="489"/>
      <c r="CC55" s="489"/>
      <c r="CD55" s="489"/>
      <c r="CE55" s="489"/>
      <c r="CF55" s="489"/>
      <c r="CL55" s="489"/>
      <c r="CM55" s="489"/>
      <c r="CN55" s="489"/>
      <c r="CO55" s="489"/>
      <c r="CP55" s="489"/>
      <c r="CQ55" s="491"/>
      <c r="CR55" s="489"/>
      <c r="CS55" s="489"/>
      <c r="CT55" s="489"/>
      <c r="CU55" s="489"/>
      <c r="CV55" s="489"/>
      <c r="CW55" s="489"/>
      <c r="CX55" s="489"/>
      <c r="CY55" s="489"/>
      <c r="CZ55" s="489"/>
      <c r="DA55" s="489"/>
      <c r="DB55" s="489"/>
      <c r="DC55" s="489"/>
    </row>
    <row r="56" spans="24:107">
      <c r="X56" t="str">
        <f t="shared" si="9"/>
        <v/>
      </c>
      <c r="AJ56" s="489"/>
      <c r="AK56" s="489"/>
      <c r="AL56" s="489"/>
      <c r="AM56" s="489"/>
      <c r="AN56" s="489"/>
      <c r="AO56" s="491"/>
      <c r="AP56" s="489"/>
      <c r="AQ56" s="489"/>
      <c r="AR56" s="489"/>
      <c r="AS56" s="489"/>
      <c r="AT56" s="489"/>
      <c r="AU56" s="489"/>
      <c r="AV56" s="489"/>
      <c r="AW56" s="489"/>
      <c r="AX56" s="489"/>
      <c r="AY56" s="489"/>
      <c r="AZ56" s="489"/>
      <c r="BA56" s="489"/>
      <c r="BO56" s="489"/>
      <c r="BP56" s="489"/>
      <c r="BQ56" s="489"/>
      <c r="BR56" s="489"/>
      <c r="BS56" s="489"/>
      <c r="BT56" s="491"/>
      <c r="BU56" s="489"/>
      <c r="BV56" s="489"/>
      <c r="BW56" s="489"/>
      <c r="BX56" s="489"/>
      <c r="BY56" s="489"/>
      <c r="BZ56" s="489"/>
      <c r="CA56" s="489"/>
      <c r="CB56" s="489"/>
      <c r="CC56" s="489"/>
      <c r="CD56" s="489"/>
      <c r="CE56" s="489"/>
      <c r="CF56" s="489"/>
      <c r="CL56" s="489"/>
      <c r="CM56" s="489"/>
      <c r="CN56" s="489"/>
      <c r="CO56" s="489"/>
      <c r="CP56" s="489"/>
      <c r="CQ56" s="491"/>
      <c r="CR56" s="489"/>
      <c r="CS56" s="489"/>
      <c r="CT56" s="489"/>
      <c r="CU56" s="489"/>
      <c r="CV56" s="489"/>
      <c r="CW56" s="489"/>
      <c r="CX56" s="489"/>
      <c r="CY56" s="489"/>
      <c r="CZ56" s="489"/>
      <c r="DA56" s="489"/>
      <c r="DB56" s="489"/>
      <c r="DC56" s="489"/>
    </row>
    <row r="57" spans="24:107">
      <c r="X57" t="str">
        <f t="shared" si="9"/>
        <v/>
      </c>
      <c r="AJ57" s="489"/>
      <c r="AK57" s="489"/>
      <c r="AL57" s="489"/>
      <c r="AM57" s="489"/>
      <c r="AN57" s="489"/>
      <c r="AO57" s="491"/>
      <c r="AP57" s="489"/>
      <c r="AQ57" s="489"/>
      <c r="AR57" s="489"/>
      <c r="AS57" s="489"/>
      <c r="AT57" s="489"/>
      <c r="AU57" s="489"/>
      <c r="AV57" s="489"/>
      <c r="AW57" s="489"/>
      <c r="AX57" s="489"/>
      <c r="AY57" s="489"/>
      <c r="AZ57" s="489"/>
      <c r="BA57" s="489"/>
      <c r="BO57" s="489"/>
      <c r="BP57" s="489"/>
      <c r="BQ57" s="489"/>
      <c r="BR57" s="489"/>
      <c r="BS57" s="489"/>
      <c r="BT57" s="491"/>
      <c r="BU57" s="489"/>
      <c r="BV57" s="489"/>
      <c r="BW57" s="489"/>
      <c r="BX57" s="489"/>
      <c r="BY57" s="489"/>
      <c r="BZ57" s="489"/>
      <c r="CA57" s="489"/>
      <c r="CB57" s="489"/>
      <c r="CC57" s="489"/>
      <c r="CD57" s="489"/>
      <c r="CE57" s="489"/>
      <c r="CF57" s="489"/>
      <c r="CL57" s="489"/>
      <c r="CM57" s="489"/>
      <c r="CN57" s="489"/>
      <c r="CO57" s="489"/>
      <c r="CP57" s="489"/>
      <c r="CQ57" s="491"/>
      <c r="CR57" s="489"/>
      <c r="CS57" s="489"/>
      <c r="CT57" s="489"/>
      <c r="CU57" s="489"/>
      <c r="CV57" s="489"/>
      <c r="CW57" s="489"/>
      <c r="CX57" s="489"/>
      <c r="CY57" s="489"/>
      <c r="CZ57" s="489"/>
      <c r="DA57" s="489"/>
      <c r="DB57" s="489"/>
      <c r="DC57" s="489"/>
    </row>
    <row r="58" spans="24:107">
      <c r="X58" t="str">
        <f t="shared" si="9"/>
        <v/>
      </c>
      <c r="AJ58" s="489"/>
      <c r="AK58" s="489"/>
      <c r="AL58" s="489"/>
      <c r="AM58" s="489"/>
      <c r="AN58" s="489"/>
      <c r="AO58" s="491"/>
      <c r="AP58" s="489"/>
      <c r="AQ58" s="489"/>
      <c r="AR58" s="489"/>
      <c r="AS58" s="489"/>
      <c r="AT58" s="489"/>
      <c r="AU58" s="489"/>
      <c r="AV58" s="489"/>
      <c r="AW58" s="489"/>
      <c r="AX58" s="489"/>
      <c r="AY58" s="489"/>
      <c r="AZ58" s="489"/>
      <c r="BA58" s="489"/>
      <c r="BO58" s="489"/>
      <c r="BP58" s="489"/>
      <c r="BQ58" s="489"/>
      <c r="BR58" s="489"/>
      <c r="BS58" s="489"/>
      <c r="BT58" s="491"/>
      <c r="BU58" s="489"/>
      <c r="BV58" s="489"/>
      <c r="BW58" s="489"/>
      <c r="BX58" s="489"/>
      <c r="BY58" s="489"/>
      <c r="BZ58" s="489"/>
      <c r="CA58" s="489"/>
      <c r="CB58" s="489"/>
      <c r="CC58" s="489"/>
      <c r="CD58" s="489"/>
      <c r="CE58" s="489"/>
      <c r="CF58" s="489"/>
      <c r="CL58" s="489"/>
      <c r="CM58" s="489"/>
      <c r="CN58" s="489"/>
      <c r="CO58" s="489"/>
      <c r="CP58" s="489"/>
      <c r="CQ58" s="491"/>
      <c r="CR58" s="489"/>
      <c r="CS58" s="489"/>
      <c r="CT58" s="489"/>
      <c r="CU58" s="489"/>
      <c r="CV58" s="489"/>
      <c r="CW58" s="489"/>
      <c r="CX58" s="489"/>
      <c r="CY58" s="489"/>
      <c r="CZ58" s="489"/>
      <c r="DA58" s="489"/>
      <c r="DB58" s="489"/>
      <c r="DC58" s="489"/>
    </row>
    <row r="59" spans="24:107">
      <c r="X59" t="str">
        <f t="shared" si="9"/>
        <v/>
      </c>
      <c r="AJ59" s="489"/>
      <c r="AK59" s="489"/>
      <c r="AL59" s="489"/>
      <c r="AM59" s="489"/>
      <c r="AN59" s="489"/>
      <c r="AO59" s="491"/>
      <c r="AP59" s="489"/>
      <c r="AQ59" s="489"/>
      <c r="AR59" s="489"/>
      <c r="AS59" s="489"/>
      <c r="AT59" s="489"/>
      <c r="AU59" s="489"/>
      <c r="AV59" s="489"/>
      <c r="AW59" s="489"/>
      <c r="AX59" s="489"/>
      <c r="AY59" s="489"/>
      <c r="AZ59" s="489"/>
      <c r="BA59" s="489"/>
      <c r="BO59" s="489"/>
      <c r="BP59" s="489"/>
      <c r="BQ59" s="489"/>
      <c r="BR59" s="489"/>
      <c r="BS59" s="489"/>
      <c r="BT59" s="491"/>
      <c r="BU59" s="489"/>
      <c r="BV59" s="489"/>
      <c r="BW59" s="489"/>
      <c r="BX59" s="489"/>
      <c r="BY59" s="489"/>
      <c r="BZ59" s="489"/>
      <c r="CA59" s="489"/>
      <c r="CB59" s="489"/>
      <c r="CC59" s="489"/>
      <c r="CD59" s="489"/>
      <c r="CE59" s="489"/>
      <c r="CF59" s="489"/>
      <c r="CL59" s="489"/>
      <c r="CM59" s="489"/>
      <c r="CN59" s="489"/>
      <c r="CO59" s="489"/>
      <c r="CP59" s="489"/>
      <c r="CQ59" s="491"/>
      <c r="CR59" s="489"/>
      <c r="CS59" s="489"/>
      <c r="CT59" s="489"/>
      <c r="CU59" s="489"/>
      <c r="CV59" s="489"/>
      <c r="CW59" s="489"/>
      <c r="CX59" s="489"/>
      <c r="CY59" s="489"/>
      <c r="CZ59" s="489"/>
      <c r="DA59" s="489"/>
      <c r="DB59" s="489"/>
      <c r="DC59" s="489"/>
    </row>
    <row r="60" spans="24:107">
      <c r="X60" t="str">
        <f t="shared" si="9"/>
        <v/>
      </c>
      <c r="AJ60" s="489"/>
      <c r="AK60" s="489"/>
      <c r="AL60" s="489"/>
      <c r="AM60" s="489"/>
      <c r="AN60" s="489"/>
      <c r="AO60" s="491"/>
      <c r="AP60" s="489"/>
      <c r="AQ60" s="489"/>
      <c r="AR60" s="489"/>
      <c r="AS60" s="489"/>
      <c r="AT60" s="489"/>
      <c r="AU60" s="489"/>
      <c r="AV60" s="489"/>
      <c r="AW60" s="489"/>
      <c r="AX60" s="489"/>
      <c r="AY60" s="489"/>
      <c r="AZ60" s="489"/>
      <c r="BA60" s="489"/>
      <c r="BO60" s="489"/>
      <c r="BP60" s="489"/>
      <c r="BQ60" s="489"/>
      <c r="BR60" s="489"/>
      <c r="BS60" s="489"/>
      <c r="BT60" s="491"/>
      <c r="BU60" s="489"/>
      <c r="BV60" s="489"/>
      <c r="BW60" s="489"/>
      <c r="BX60" s="489"/>
      <c r="BY60" s="489"/>
      <c r="BZ60" s="489"/>
      <c r="CA60" s="489"/>
      <c r="CB60" s="489"/>
      <c r="CC60" s="489"/>
      <c r="CD60" s="489"/>
      <c r="CE60" s="489"/>
      <c r="CF60" s="489"/>
      <c r="CL60" s="489"/>
      <c r="CM60" s="489"/>
      <c r="CN60" s="489"/>
      <c r="CO60" s="489"/>
      <c r="CP60" s="489"/>
      <c r="CQ60" s="491"/>
      <c r="CR60" s="489"/>
      <c r="CS60" s="489"/>
      <c r="CT60" s="489"/>
      <c r="CU60" s="489"/>
      <c r="CV60" s="489"/>
      <c r="CW60" s="489"/>
      <c r="CX60" s="489"/>
      <c r="CY60" s="489"/>
      <c r="CZ60" s="489"/>
      <c r="DA60" s="489"/>
      <c r="DB60" s="489"/>
      <c r="DC60" s="489"/>
    </row>
    <row r="61" spans="24:107">
      <c r="X61" t="str">
        <f t="shared" si="9"/>
        <v/>
      </c>
      <c r="AJ61" s="489"/>
      <c r="AK61" s="489"/>
      <c r="AL61" s="489"/>
      <c r="AM61" s="489"/>
      <c r="AN61" s="489"/>
      <c r="AO61" s="491"/>
      <c r="AP61" s="489"/>
      <c r="AQ61" s="489"/>
      <c r="AR61" s="489"/>
      <c r="AS61" s="489"/>
      <c r="AT61" s="489"/>
      <c r="AU61" s="489"/>
      <c r="AV61" s="489"/>
      <c r="AW61" s="489"/>
      <c r="AX61" s="489"/>
      <c r="AY61" s="489"/>
      <c r="AZ61" s="489"/>
      <c r="BA61" s="489"/>
      <c r="BO61" s="489"/>
      <c r="BP61" s="489"/>
      <c r="BQ61" s="489"/>
      <c r="BR61" s="489"/>
      <c r="BS61" s="489"/>
      <c r="BT61" s="491"/>
      <c r="BU61" s="489"/>
      <c r="BV61" s="489"/>
      <c r="BW61" s="489"/>
      <c r="BX61" s="489"/>
      <c r="BY61" s="489"/>
      <c r="BZ61" s="489"/>
      <c r="CA61" s="489"/>
      <c r="CB61" s="489"/>
      <c r="CC61" s="489"/>
      <c r="CD61" s="489"/>
      <c r="CE61" s="489"/>
      <c r="CF61" s="489"/>
      <c r="CL61" s="489"/>
      <c r="CM61" s="489"/>
      <c r="CN61" s="489"/>
      <c r="CO61" s="489"/>
      <c r="CP61" s="489"/>
      <c r="CQ61" s="491"/>
      <c r="CR61" s="489"/>
      <c r="CS61" s="489"/>
      <c r="CT61" s="489"/>
      <c r="CU61" s="489"/>
      <c r="CV61" s="489"/>
      <c r="CW61" s="489"/>
      <c r="CX61" s="489"/>
      <c r="CY61" s="489"/>
      <c r="CZ61" s="489"/>
      <c r="DA61" s="489"/>
      <c r="DB61" s="489"/>
      <c r="DC61" s="489"/>
    </row>
    <row r="62" spans="24:107">
      <c r="X62" t="str">
        <f t="shared" si="9"/>
        <v/>
      </c>
      <c r="AJ62" s="489"/>
      <c r="AK62" s="489"/>
      <c r="AL62" s="489"/>
      <c r="AM62" s="489"/>
      <c r="AN62" s="489"/>
      <c r="AO62" s="491"/>
      <c r="AP62" s="489"/>
      <c r="AQ62" s="489"/>
      <c r="AR62" s="489"/>
      <c r="AS62" s="489"/>
      <c r="AT62" s="489"/>
      <c r="AU62" s="489"/>
      <c r="AV62" s="489"/>
      <c r="AW62" s="489"/>
      <c r="AX62" s="489"/>
      <c r="AY62" s="489"/>
      <c r="AZ62" s="489"/>
      <c r="BA62" s="489"/>
      <c r="BO62" s="489"/>
      <c r="BP62" s="489"/>
      <c r="BQ62" s="489"/>
      <c r="BR62" s="489"/>
      <c r="BS62" s="489"/>
      <c r="BT62" s="491"/>
      <c r="BU62" s="489"/>
      <c r="BV62" s="489"/>
      <c r="BW62" s="489"/>
      <c r="BX62" s="489"/>
      <c r="BY62" s="489"/>
      <c r="BZ62" s="489"/>
      <c r="CA62" s="489"/>
      <c r="CB62" s="489"/>
      <c r="CC62" s="489"/>
      <c r="CD62" s="489"/>
      <c r="CE62" s="489"/>
      <c r="CF62" s="489"/>
      <c r="CL62" s="489"/>
      <c r="CM62" s="489"/>
      <c r="CN62" s="489"/>
      <c r="CO62" s="489"/>
      <c r="CP62" s="489"/>
      <c r="CQ62" s="491"/>
      <c r="CR62" s="489"/>
      <c r="CS62" s="489"/>
      <c r="CT62" s="489"/>
      <c r="CU62" s="489"/>
      <c r="CV62" s="489"/>
      <c r="CW62" s="489"/>
      <c r="CX62" s="489"/>
      <c r="CY62" s="489"/>
      <c r="CZ62" s="489"/>
      <c r="DA62" s="489"/>
      <c r="DB62" s="489"/>
      <c r="DC62" s="489"/>
    </row>
    <row r="63" spans="24:107">
      <c r="X63" t="str">
        <f t="shared" si="9"/>
        <v/>
      </c>
      <c r="AJ63" s="489"/>
      <c r="AK63" s="489"/>
      <c r="AL63" s="489"/>
      <c r="AM63" s="489"/>
      <c r="AN63" s="489"/>
      <c r="AO63" s="491"/>
      <c r="AP63" s="489"/>
      <c r="AQ63" s="489"/>
      <c r="AR63" s="489"/>
      <c r="AS63" s="489"/>
      <c r="AT63" s="489"/>
      <c r="AU63" s="489"/>
      <c r="AV63" s="489"/>
      <c r="AW63" s="489"/>
      <c r="AX63" s="489"/>
      <c r="AY63" s="489"/>
      <c r="AZ63" s="489"/>
      <c r="BA63" s="489"/>
      <c r="BO63" s="489"/>
      <c r="BP63" s="489"/>
      <c r="BQ63" s="489"/>
      <c r="BR63" s="489"/>
      <c r="BS63" s="489"/>
      <c r="BT63" s="491"/>
      <c r="BU63" s="489"/>
      <c r="BV63" s="489"/>
      <c r="BW63" s="489"/>
      <c r="BX63" s="489"/>
      <c r="BY63" s="489"/>
      <c r="BZ63" s="489"/>
      <c r="CA63" s="489"/>
      <c r="CB63" s="489"/>
      <c r="CC63" s="489"/>
      <c r="CD63" s="489"/>
      <c r="CE63" s="489"/>
      <c r="CF63" s="489"/>
      <c r="CL63" s="489"/>
      <c r="CM63" s="489"/>
      <c r="CN63" s="489"/>
      <c r="CO63" s="489"/>
      <c r="CP63" s="489"/>
      <c r="CQ63" s="491"/>
      <c r="CR63" s="489"/>
      <c r="CS63" s="489"/>
      <c r="CT63" s="489"/>
      <c r="CU63" s="489"/>
      <c r="CV63" s="489"/>
      <c r="CW63" s="489"/>
      <c r="CX63" s="489"/>
      <c r="CY63" s="489"/>
      <c r="CZ63" s="489"/>
      <c r="DA63" s="489"/>
      <c r="DB63" s="489"/>
      <c r="DC63" s="489"/>
    </row>
    <row r="64" spans="24:107">
      <c r="X64" t="str">
        <f t="shared" si="9"/>
        <v/>
      </c>
      <c r="AJ64" s="489"/>
      <c r="AK64" s="489"/>
      <c r="AL64" s="489"/>
      <c r="AM64" s="489"/>
      <c r="AN64" s="489"/>
      <c r="AO64" s="491"/>
      <c r="AP64" s="489"/>
      <c r="AQ64" s="489"/>
      <c r="AR64" s="489"/>
      <c r="AS64" s="489"/>
      <c r="AT64" s="489"/>
      <c r="AU64" s="489"/>
      <c r="AV64" s="489"/>
      <c r="AW64" s="489"/>
      <c r="AX64" s="489"/>
      <c r="AY64" s="489"/>
      <c r="AZ64" s="489"/>
      <c r="BA64" s="489"/>
      <c r="BO64" s="489"/>
      <c r="BP64" s="489"/>
      <c r="BQ64" s="489"/>
      <c r="BR64" s="489"/>
      <c r="BS64" s="489"/>
      <c r="BT64" s="491"/>
      <c r="BU64" s="489"/>
      <c r="BV64" s="489"/>
      <c r="BW64" s="489"/>
      <c r="BX64" s="489"/>
      <c r="BY64" s="489"/>
      <c r="BZ64" s="489"/>
      <c r="CA64" s="489"/>
      <c r="CB64" s="489"/>
      <c r="CC64" s="489"/>
      <c r="CD64" s="489"/>
      <c r="CE64" s="489"/>
      <c r="CF64" s="489"/>
      <c r="CL64" s="489"/>
      <c r="CM64" s="489"/>
      <c r="CN64" s="489"/>
      <c r="CO64" s="489"/>
      <c r="CP64" s="489"/>
      <c r="CQ64" s="491"/>
      <c r="CR64" s="489"/>
      <c r="CS64" s="489"/>
      <c r="CT64" s="489"/>
      <c r="CU64" s="489"/>
      <c r="CV64" s="489"/>
      <c r="CW64" s="489"/>
      <c r="CX64" s="489"/>
      <c r="CY64" s="489"/>
      <c r="CZ64" s="489"/>
      <c r="DA64" s="489"/>
      <c r="DB64" s="489"/>
      <c r="DC64" s="489"/>
    </row>
    <row r="65" spans="24:107">
      <c r="X65" t="str">
        <f t="shared" si="9"/>
        <v/>
      </c>
      <c r="AJ65" s="489"/>
      <c r="AK65" s="489"/>
      <c r="AL65" s="489"/>
      <c r="AM65" s="489"/>
      <c r="AN65" s="489"/>
      <c r="AO65" s="491"/>
      <c r="AP65" s="489"/>
      <c r="AQ65" s="489"/>
      <c r="AR65" s="489"/>
      <c r="AS65" s="489"/>
      <c r="AT65" s="489"/>
      <c r="AU65" s="489"/>
      <c r="AV65" s="489"/>
      <c r="AW65" s="489"/>
      <c r="AX65" s="489"/>
      <c r="AY65" s="489"/>
      <c r="AZ65" s="489"/>
      <c r="BA65" s="489"/>
      <c r="BO65" s="489"/>
      <c r="BP65" s="489"/>
      <c r="BQ65" s="489"/>
      <c r="BR65" s="489"/>
      <c r="BS65" s="489"/>
      <c r="BT65" s="491"/>
      <c r="BU65" s="489"/>
      <c r="BV65" s="489"/>
      <c r="BW65" s="489"/>
      <c r="BX65" s="489"/>
      <c r="BY65" s="489"/>
      <c r="BZ65" s="489"/>
      <c r="CA65" s="489"/>
      <c r="CB65" s="489"/>
      <c r="CC65" s="489"/>
      <c r="CD65" s="489"/>
      <c r="CE65" s="489"/>
      <c r="CF65" s="489"/>
      <c r="CL65" s="489"/>
      <c r="CM65" s="489"/>
      <c r="CN65" s="489"/>
      <c r="CO65" s="489"/>
      <c r="CP65" s="489"/>
      <c r="CQ65" s="491"/>
      <c r="CR65" s="489"/>
      <c r="CS65" s="489"/>
      <c r="CT65" s="489"/>
      <c r="CU65" s="489"/>
      <c r="CV65" s="489"/>
      <c r="CW65" s="489"/>
      <c r="CX65" s="489"/>
      <c r="CY65" s="489"/>
      <c r="CZ65" s="489"/>
      <c r="DA65" s="489"/>
      <c r="DB65" s="489"/>
      <c r="DC65" s="489"/>
    </row>
    <row r="66" spans="24:107">
      <c r="X66" t="str">
        <f t="shared" si="9"/>
        <v/>
      </c>
      <c r="AJ66" s="489"/>
      <c r="AK66" s="489"/>
      <c r="AL66" s="489"/>
      <c r="AM66" s="489"/>
      <c r="AN66" s="489"/>
      <c r="AO66" s="491"/>
      <c r="AP66" s="489"/>
      <c r="AQ66" s="489"/>
      <c r="AR66" s="489"/>
      <c r="AS66" s="489"/>
      <c r="AT66" s="489"/>
      <c r="AU66" s="489"/>
      <c r="AV66" s="489"/>
      <c r="AW66" s="489"/>
      <c r="AX66" s="489"/>
      <c r="AY66" s="489"/>
      <c r="AZ66" s="489"/>
      <c r="BA66" s="489"/>
      <c r="BO66" s="489"/>
      <c r="BP66" s="489"/>
      <c r="BQ66" s="489"/>
      <c r="BR66" s="489"/>
      <c r="BS66" s="489"/>
      <c r="BT66" s="491"/>
      <c r="BU66" s="489"/>
      <c r="BV66" s="489"/>
      <c r="BW66" s="489"/>
      <c r="BX66" s="489"/>
      <c r="BY66" s="489"/>
      <c r="BZ66" s="489"/>
      <c r="CA66" s="489"/>
      <c r="CB66" s="489"/>
      <c r="CC66" s="489"/>
      <c r="CD66" s="489"/>
      <c r="CE66" s="489"/>
      <c r="CF66" s="489"/>
      <c r="CL66" s="489"/>
      <c r="CM66" s="489"/>
      <c r="CN66" s="489"/>
      <c r="CO66" s="489"/>
      <c r="CP66" s="489"/>
      <c r="CQ66" s="491"/>
      <c r="CR66" s="489"/>
      <c r="CS66" s="489"/>
      <c r="CT66" s="489"/>
      <c r="CU66" s="489"/>
      <c r="CV66" s="489"/>
      <c r="CW66" s="489"/>
      <c r="CX66" s="489"/>
      <c r="CY66" s="489"/>
      <c r="CZ66" s="489"/>
      <c r="DA66" s="489"/>
      <c r="DB66" s="489"/>
      <c r="DC66" s="489"/>
    </row>
    <row r="67" spans="24:107">
      <c r="X67" t="str">
        <f t="shared" si="9"/>
        <v/>
      </c>
      <c r="AJ67" s="489"/>
      <c r="AK67" s="489"/>
      <c r="AL67" s="489"/>
      <c r="AM67" s="489"/>
      <c r="AN67" s="489"/>
      <c r="AO67" s="491"/>
      <c r="AP67" s="489"/>
      <c r="AQ67" s="489"/>
      <c r="AR67" s="489"/>
      <c r="AS67" s="489"/>
      <c r="AT67" s="489"/>
      <c r="AU67" s="489"/>
      <c r="AV67" s="489"/>
      <c r="AW67" s="489"/>
      <c r="AX67" s="489"/>
      <c r="AY67" s="489"/>
      <c r="AZ67" s="489"/>
      <c r="BA67" s="489"/>
      <c r="BO67" s="489"/>
      <c r="BP67" s="489"/>
      <c r="BQ67" s="489"/>
      <c r="BR67" s="489"/>
      <c r="BS67" s="489"/>
      <c r="BT67" s="491"/>
      <c r="BU67" s="489"/>
      <c r="BV67" s="489"/>
      <c r="BW67" s="489"/>
      <c r="BX67" s="489"/>
      <c r="BY67" s="489"/>
      <c r="BZ67" s="489"/>
      <c r="CA67" s="489"/>
      <c r="CB67" s="489"/>
      <c r="CC67" s="489"/>
      <c r="CD67" s="489"/>
      <c r="CE67" s="489"/>
      <c r="CF67" s="489"/>
      <c r="CL67" s="489"/>
      <c r="CM67" s="489"/>
      <c r="CN67" s="489"/>
      <c r="CO67" s="489"/>
      <c r="CP67" s="489"/>
      <c r="CQ67" s="491"/>
      <c r="CR67" s="489"/>
      <c r="CS67" s="489"/>
      <c r="CT67" s="489"/>
      <c r="CU67" s="489"/>
      <c r="CV67" s="489"/>
      <c r="CW67" s="489"/>
      <c r="CX67" s="489"/>
      <c r="CY67" s="489"/>
      <c r="CZ67" s="489"/>
      <c r="DA67" s="489"/>
      <c r="DB67" s="489"/>
      <c r="DC67" s="489"/>
    </row>
    <row r="68" spans="24:107">
      <c r="X68" t="str">
        <f t="shared" si="9"/>
        <v/>
      </c>
      <c r="AJ68" s="489"/>
      <c r="AK68" s="489"/>
      <c r="AL68" s="489"/>
      <c r="AM68" s="489"/>
      <c r="AN68" s="489"/>
      <c r="AO68" s="491"/>
      <c r="AP68" s="489"/>
      <c r="AQ68" s="489"/>
      <c r="AR68" s="489"/>
      <c r="AS68" s="489"/>
      <c r="AT68" s="489"/>
      <c r="AU68" s="489"/>
      <c r="AV68" s="489"/>
      <c r="AW68" s="489"/>
      <c r="AX68" s="489"/>
      <c r="AY68" s="489"/>
      <c r="AZ68" s="489"/>
      <c r="BA68" s="489"/>
      <c r="BO68" s="489"/>
      <c r="BP68" s="489"/>
      <c r="BQ68" s="489"/>
      <c r="BR68" s="489"/>
      <c r="BS68" s="489"/>
      <c r="BT68" s="491"/>
      <c r="BU68" s="489"/>
      <c r="BV68" s="489"/>
      <c r="BW68" s="489"/>
      <c r="BX68" s="489"/>
      <c r="BY68" s="489"/>
      <c r="BZ68" s="489"/>
      <c r="CA68" s="489"/>
      <c r="CB68" s="489"/>
      <c r="CC68" s="489"/>
      <c r="CD68" s="489"/>
      <c r="CE68" s="489"/>
      <c r="CF68" s="489"/>
      <c r="CL68" s="489"/>
      <c r="CM68" s="489"/>
      <c r="CN68" s="489"/>
      <c r="CO68" s="489"/>
      <c r="CP68" s="489"/>
      <c r="CQ68" s="491"/>
      <c r="CR68" s="489"/>
      <c r="CS68" s="489"/>
      <c r="CT68" s="489"/>
      <c r="CU68" s="489"/>
      <c r="CV68" s="489"/>
      <c r="CW68" s="489"/>
      <c r="CX68" s="489"/>
      <c r="CY68" s="489"/>
      <c r="CZ68" s="489"/>
      <c r="DA68" s="489"/>
      <c r="DB68" s="489"/>
      <c r="DC68" s="489"/>
    </row>
    <row r="69" spans="24:107">
      <c r="X69" t="str">
        <f t="shared" si="9"/>
        <v/>
      </c>
      <c r="AJ69" s="489"/>
      <c r="AK69" s="489"/>
      <c r="AL69" s="489"/>
      <c r="AM69" s="489"/>
      <c r="AN69" s="489"/>
      <c r="AO69" s="491"/>
      <c r="AP69" s="489"/>
      <c r="AQ69" s="489"/>
      <c r="AR69" s="489"/>
      <c r="AS69" s="489"/>
      <c r="AT69" s="489"/>
      <c r="AU69" s="489"/>
      <c r="AV69" s="489"/>
      <c r="AW69" s="489"/>
      <c r="AX69" s="489"/>
      <c r="AY69" s="489"/>
      <c r="AZ69" s="489"/>
      <c r="BA69" s="489"/>
      <c r="BO69" s="489"/>
      <c r="BP69" s="489"/>
      <c r="BQ69" s="489"/>
      <c r="BR69" s="489"/>
      <c r="BS69" s="489"/>
      <c r="BT69" s="491"/>
      <c r="BU69" s="489"/>
      <c r="BV69" s="489"/>
      <c r="BW69" s="489"/>
      <c r="BX69" s="489"/>
      <c r="BY69" s="489"/>
      <c r="BZ69" s="489"/>
      <c r="CA69" s="489"/>
      <c r="CB69" s="489"/>
      <c r="CC69" s="489"/>
      <c r="CD69" s="489"/>
      <c r="CE69" s="489"/>
      <c r="CF69" s="489"/>
      <c r="CL69" s="489"/>
      <c r="CM69" s="489"/>
      <c r="CN69" s="489"/>
      <c r="CO69" s="489"/>
      <c r="CP69" s="489"/>
      <c r="CQ69" s="491"/>
      <c r="CR69" s="489"/>
      <c r="CS69" s="489"/>
      <c r="CT69" s="489"/>
      <c r="CU69" s="489"/>
      <c r="CV69" s="489"/>
      <c r="CW69" s="489"/>
      <c r="CX69" s="489"/>
      <c r="CY69" s="489"/>
      <c r="CZ69" s="489"/>
      <c r="DA69" s="489"/>
      <c r="DB69" s="489"/>
      <c r="DC69" s="489"/>
    </row>
    <row r="70" spans="24:107">
      <c r="X70" t="str">
        <f t="shared" si="9"/>
        <v/>
      </c>
      <c r="AJ70" s="489"/>
      <c r="AK70" s="489"/>
      <c r="AL70" s="489"/>
      <c r="AM70" s="489"/>
      <c r="AN70" s="489"/>
      <c r="AO70" s="491"/>
      <c r="AP70" s="489"/>
      <c r="AQ70" s="489"/>
      <c r="AR70" s="489"/>
      <c r="AS70" s="489"/>
      <c r="AT70" s="489"/>
      <c r="AU70" s="489"/>
      <c r="AV70" s="489"/>
      <c r="AW70" s="489"/>
      <c r="AX70" s="489"/>
      <c r="AY70" s="489"/>
      <c r="AZ70" s="489"/>
      <c r="BA70" s="489"/>
      <c r="BO70" s="489"/>
      <c r="BP70" s="489"/>
      <c r="BQ70" s="489"/>
      <c r="BR70" s="489"/>
      <c r="BS70" s="489"/>
      <c r="BT70" s="491"/>
      <c r="BU70" s="489"/>
      <c r="BV70" s="489"/>
      <c r="BW70" s="489"/>
      <c r="BX70" s="489"/>
      <c r="BY70" s="489"/>
      <c r="BZ70" s="489"/>
      <c r="CA70" s="489"/>
      <c r="CB70" s="489"/>
      <c r="CC70" s="489"/>
      <c r="CD70" s="489"/>
      <c r="CE70" s="489"/>
      <c r="CF70" s="489"/>
      <c r="CL70" s="489"/>
      <c r="CM70" s="489"/>
      <c r="CN70" s="489"/>
      <c r="CO70" s="489"/>
      <c r="CP70" s="489"/>
      <c r="CQ70" s="491"/>
      <c r="CR70" s="489"/>
      <c r="CS70" s="489"/>
      <c r="CT70" s="489"/>
      <c r="CU70" s="489"/>
      <c r="CV70" s="489"/>
      <c r="CW70" s="489"/>
      <c r="CX70" s="489"/>
      <c r="CY70" s="489"/>
      <c r="CZ70" s="489"/>
      <c r="DA70" s="489"/>
      <c r="DB70" s="489"/>
      <c r="DC70" s="489"/>
    </row>
    <row r="71" spans="24:107">
      <c r="X71" t="str">
        <f t="shared" si="9"/>
        <v/>
      </c>
      <c r="AJ71" s="489"/>
      <c r="AK71" s="489"/>
      <c r="AL71" s="489"/>
      <c r="AM71" s="489"/>
      <c r="AN71" s="489"/>
      <c r="AO71" s="491"/>
      <c r="AP71" s="489"/>
      <c r="AQ71" s="489"/>
      <c r="AR71" s="489"/>
      <c r="AS71" s="489"/>
      <c r="AT71" s="489"/>
      <c r="AU71" s="489"/>
      <c r="AV71" s="489"/>
      <c r="AW71" s="489"/>
      <c r="AX71" s="489"/>
      <c r="AY71" s="489"/>
      <c r="AZ71" s="489"/>
      <c r="BA71" s="489"/>
      <c r="BO71" s="489"/>
      <c r="BP71" s="489"/>
      <c r="BQ71" s="489"/>
      <c r="BR71" s="489"/>
      <c r="BS71" s="489"/>
      <c r="BT71" s="491"/>
      <c r="BU71" s="489"/>
      <c r="BV71" s="489"/>
      <c r="BW71" s="489"/>
      <c r="BX71" s="489"/>
      <c r="BY71" s="489"/>
      <c r="BZ71" s="489"/>
      <c r="CA71" s="489"/>
      <c r="CB71" s="489"/>
      <c r="CC71" s="489"/>
      <c r="CD71" s="489"/>
      <c r="CE71" s="489"/>
      <c r="CF71" s="489"/>
      <c r="CL71" s="489"/>
      <c r="CM71" s="489"/>
      <c r="CN71" s="489"/>
      <c r="CO71" s="489"/>
      <c r="CP71" s="489"/>
      <c r="CQ71" s="491"/>
      <c r="CR71" s="489"/>
      <c r="CS71" s="489"/>
      <c r="CT71" s="489"/>
      <c r="CU71" s="489"/>
      <c r="CV71" s="489"/>
      <c r="CW71" s="489"/>
      <c r="CX71" s="489"/>
      <c r="CY71" s="489"/>
      <c r="CZ71" s="489"/>
      <c r="DA71" s="489"/>
      <c r="DB71" s="489"/>
      <c r="DC71" s="489"/>
    </row>
    <row r="72" spans="24:107">
      <c r="X72" t="str">
        <f t="shared" si="9"/>
        <v/>
      </c>
      <c r="AJ72" s="489"/>
      <c r="AK72" s="489"/>
      <c r="AL72" s="489"/>
      <c r="AM72" s="489"/>
      <c r="AN72" s="489"/>
      <c r="AO72" s="491"/>
      <c r="AP72" s="489"/>
      <c r="AQ72" s="489"/>
      <c r="AR72" s="489"/>
      <c r="AS72" s="489"/>
      <c r="AT72" s="489"/>
      <c r="AU72" s="489"/>
      <c r="AV72" s="489"/>
      <c r="AW72" s="489"/>
      <c r="AX72" s="489"/>
      <c r="AY72" s="489"/>
      <c r="AZ72" s="489"/>
      <c r="BA72" s="489"/>
      <c r="BO72" s="489"/>
      <c r="BP72" s="489"/>
      <c r="BQ72" s="489"/>
      <c r="BR72" s="489"/>
      <c r="BS72" s="489"/>
      <c r="BT72" s="491"/>
      <c r="BU72" s="489"/>
      <c r="BV72" s="489"/>
      <c r="BW72" s="489"/>
      <c r="BX72" s="489"/>
      <c r="BY72" s="489"/>
      <c r="BZ72" s="489"/>
      <c r="CA72" s="489"/>
      <c r="CB72" s="489"/>
      <c r="CC72" s="489"/>
      <c r="CD72" s="489"/>
      <c r="CE72" s="489"/>
      <c r="CF72" s="489"/>
      <c r="CL72" s="489"/>
      <c r="CM72" s="489"/>
      <c r="CN72" s="489"/>
      <c r="CO72" s="489"/>
      <c r="CP72" s="489"/>
      <c r="CQ72" s="491"/>
      <c r="CR72" s="489"/>
      <c r="CS72" s="489"/>
      <c r="CT72" s="489"/>
      <c r="CU72" s="489"/>
      <c r="CV72" s="489"/>
      <c r="CW72" s="489"/>
      <c r="CX72" s="489"/>
      <c r="CY72" s="489"/>
      <c r="CZ72" s="489"/>
      <c r="DA72" s="489"/>
      <c r="DB72" s="489"/>
      <c r="DC72" s="489"/>
    </row>
    <row r="73" spans="24:107">
      <c r="X73" t="str">
        <f t="shared" si="9"/>
        <v/>
      </c>
      <c r="AJ73" s="489"/>
      <c r="AK73" s="489"/>
      <c r="AL73" s="489"/>
      <c r="AM73" s="489"/>
      <c r="AN73" s="489"/>
      <c r="AO73" s="491"/>
      <c r="AP73" s="489"/>
      <c r="AQ73" s="489"/>
      <c r="AR73" s="489"/>
      <c r="AS73" s="489"/>
      <c r="AT73" s="489"/>
      <c r="AU73" s="489"/>
      <c r="AV73" s="489"/>
      <c r="AW73" s="489"/>
      <c r="AX73" s="489"/>
      <c r="AY73" s="489"/>
      <c r="AZ73" s="489"/>
      <c r="BA73" s="489"/>
      <c r="BO73" s="489"/>
      <c r="BP73" s="489"/>
      <c r="BQ73" s="489"/>
      <c r="BR73" s="489"/>
      <c r="BS73" s="489"/>
      <c r="BT73" s="491"/>
      <c r="BU73" s="489"/>
      <c r="BV73" s="489"/>
      <c r="BW73" s="489"/>
      <c r="BX73" s="489"/>
      <c r="BY73" s="489"/>
      <c r="BZ73" s="489"/>
      <c r="CA73" s="489"/>
      <c r="CB73" s="489"/>
      <c r="CC73" s="489"/>
      <c r="CD73" s="489"/>
      <c r="CE73" s="489"/>
      <c r="CF73" s="489"/>
      <c r="CL73" s="489"/>
      <c r="CM73" s="489"/>
      <c r="CN73" s="489"/>
      <c r="CO73" s="489"/>
      <c r="CP73" s="489"/>
      <c r="CQ73" s="491"/>
      <c r="CR73" s="489"/>
      <c r="CS73" s="489"/>
      <c r="CT73" s="489"/>
      <c r="CU73" s="489"/>
      <c r="CV73" s="489"/>
      <c r="CW73" s="489"/>
      <c r="CX73" s="489"/>
      <c r="CY73" s="489"/>
      <c r="CZ73" s="489"/>
      <c r="DA73" s="489"/>
      <c r="DB73" s="489"/>
      <c r="DC73" s="489"/>
    </row>
    <row r="74" spans="24:107">
      <c r="X74" t="str">
        <f t="shared" si="9"/>
        <v/>
      </c>
      <c r="AJ74" s="489"/>
      <c r="AK74" s="489"/>
      <c r="AL74" s="489"/>
      <c r="AM74" s="489"/>
      <c r="AN74" s="489"/>
      <c r="AO74" s="491"/>
      <c r="AP74" s="489"/>
      <c r="AQ74" s="489"/>
      <c r="AR74" s="489"/>
      <c r="AS74" s="489"/>
      <c r="AT74" s="489"/>
      <c r="AU74" s="489"/>
      <c r="AV74" s="489"/>
      <c r="AW74" s="489"/>
      <c r="AX74" s="489"/>
      <c r="AY74" s="489"/>
      <c r="AZ74" s="489"/>
      <c r="BA74" s="489"/>
      <c r="BO74" s="489"/>
      <c r="BP74" s="489"/>
      <c r="BQ74" s="489"/>
      <c r="BR74" s="489"/>
      <c r="BS74" s="489"/>
      <c r="BT74" s="491"/>
      <c r="BU74" s="489"/>
      <c r="BV74" s="489"/>
      <c r="BW74" s="489"/>
      <c r="BX74" s="489"/>
      <c r="BY74" s="489"/>
      <c r="BZ74" s="489"/>
      <c r="CA74" s="489"/>
      <c r="CB74" s="489"/>
      <c r="CC74" s="489"/>
      <c r="CD74" s="489"/>
      <c r="CE74" s="489"/>
      <c r="CF74" s="489"/>
      <c r="CL74" s="489"/>
      <c r="CM74" s="489"/>
      <c r="CN74" s="489"/>
      <c r="CO74" s="489"/>
      <c r="CP74" s="489"/>
      <c r="CQ74" s="491"/>
      <c r="CR74" s="489"/>
      <c r="CS74" s="489"/>
      <c r="CT74" s="489"/>
      <c r="CU74" s="489"/>
      <c r="CV74" s="489"/>
      <c r="CW74" s="489"/>
      <c r="CX74" s="489"/>
      <c r="CY74" s="489"/>
      <c r="CZ74" s="489"/>
      <c r="DA74" s="489"/>
      <c r="DB74" s="489"/>
      <c r="DC74" s="489"/>
    </row>
    <row r="75" spans="24:107">
      <c r="X75" t="str">
        <f t="shared" si="9"/>
        <v/>
      </c>
      <c r="AJ75" s="489"/>
      <c r="AK75" s="489"/>
      <c r="AL75" s="489"/>
      <c r="AM75" s="489"/>
      <c r="AN75" s="489"/>
      <c r="AO75" s="491"/>
      <c r="AP75" s="489"/>
      <c r="AQ75" s="489"/>
      <c r="AR75" s="489"/>
      <c r="AS75" s="489"/>
      <c r="AT75" s="489"/>
      <c r="AU75" s="489"/>
      <c r="AV75" s="489"/>
      <c r="AW75" s="489"/>
      <c r="AX75" s="489"/>
      <c r="AY75" s="489"/>
      <c r="AZ75" s="489"/>
      <c r="BA75" s="489"/>
      <c r="BO75" s="489"/>
      <c r="BP75" s="489"/>
      <c r="BQ75" s="489"/>
      <c r="BR75" s="489"/>
      <c r="BS75" s="489"/>
      <c r="BT75" s="491"/>
      <c r="BU75" s="489"/>
      <c r="BV75" s="489"/>
      <c r="BW75" s="489"/>
      <c r="BX75" s="489"/>
      <c r="BY75" s="489"/>
      <c r="BZ75" s="489"/>
      <c r="CA75" s="489"/>
      <c r="CB75" s="489"/>
      <c r="CC75" s="489"/>
      <c r="CD75" s="489"/>
      <c r="CE75" s="489"/>
      <c r="CF75" s="489"/>
      <c r="CL75" s="489"/>
      <c r="CM75" s="489"/>
      <c r="CN75" s="489"/>
      <c r="CO75" s="489"/>
      <c r="CP75" s="489"/>
      <c r="CQ75" s="491"/>
      <c r="CR75" s="489"/>
      <c r="CS75" s="489"/>
      <c r="CT75" s="489"/>
      <c r="CU75" s="489"/>
      <c r="CV75" s="489"/>
      <c r="CW75" s="489"/>
      <c r="CX75" s="489"/>
      <c r="CY75" s="489"/>
      <c r="CZ75" s="489"/>
      <c r="DA75" s="489"/>
      <c r="DB75" s="489"/>
      <c r="DC75" s="489"/>
    </row>
    <row r="76" spans="24:107">
      <c r="X76" t="str">
        <f t="shared" si="9"/>
        <v/>
      </c>
    </row>
    <row r="77" spans="24:107">
      <c r="X77" t="str">
        <f t="shared" si="9"/>
        <v/>
      </c>
    </row>
    <row r="78" spans="24:107">
      <c r="X78" t="str">
        <f t="shared" si="9"/>
        <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92D050"/>
  </sheetPr>
  <dimension ref="A1:DD75"/>
  <sheetViews>
    <sheetView workbookViewId="0">
      <selection activeCell="S37" sqref="S37"/>
    </sheetView>
    <sheetView workbookViewId="1"/>
  </sheetViews>
  <sheetFormatPr defaultRowHeight="15.75"/>
  <cols>
    <col min="1" max="1" width="10.875" style="377" bestFit="1" customWidth="1"/>
    <col min="2" max="2" width="14.125" style="377" bestFit="1" customWidth="1"/>
    <col min="3" max="3" width="11.5" style="377" bestFit="1" customWidth="1"/>
    <col min="4" max="4" width="20" style="377" bestFit="1" customWidth="1"/>
    <col min="5" max="5" width="11.875" style="377" bestFit="1" customWidth="1"/>
    <col min="6" max="7" width="11.875" style="489" customWidth="1"/>
    <col min="8" max="8" width="15.75" style="53" customWidth="1"/>
    <col min="9" max="9" width="15.75" style="377" customWidth="1"/>
    <col min="10" max="10" width="14.125" style="377" bestFit="1" customWidth="1"/>
    <col min="11" max="11" width="11.5" style="377" bestFit="1" customWidth="1"/>
    <col min="12" max="12" width="20" style="377" bestFit="1" customWidth="1"/>
    <col min="13" max="13" width="18.75" style="377" bestFit="1" customWidth="1"/>
    <col min="14" max="14" width="18.75" style="489" customWidth="1"/>
    <col min="15" max="15" width="5.75" style="377" customWidth="1"/>
    <col min="16" max="16" width="12.375" style="377" bestFit="1" customWidth="1"/>
    <col min="17" max="23" width="9" style="377"/>
    <col min="24" max="24" width="10.875" style="377" customWidth="1"/>
    <col min="25" max="26" width="9" style="377"/>
    <col min="27" max="27" width="12.125" style="377" customWidth="1"/>
    <col min="28" max="28" width="11.5" style="377" customWidth="1"/>
    <col min="29" max="34" width="9" style="377"/>
    <col min="35" max="86" width="9" style="430"/>
    <col min="87" max="16384" width="9" style="377"/>
  </cols>
  <sheetData>
    <row r="1" spans="1:108">
      <c r="B1" s="111"/>
      <c r="C1" s="112" t="s">
        <v>181</v>
      </c>
      <c r="D1" s="111"/>
      <c r="E1" s="111" t="s">
        <v>303</v>
      </c>
      <c r="F1" s="493"/>
      <c r="G1" s="493"/>
      <c r="J1" s="111"/>
      <c r="K1" s="111"/>
      <c r="L1" s="112" t="s">
        <v>180</v>
      </c>
      <c r="M1" s="111"/>
      <c r="N1" s="493"/>
      <c r="O1" s="111"/>
      <c r="AJ1" s="489"/>
      <c r="AK1" s="493"/>
      <c r="AL1" s="494"/>
      <c r="AM1" s="493"/>
      <c r="AN1" s="493"/>
      <c r="AO1" s="491"/>
      <c r="AP1" s="489"/>
      <c r="AQ1" s="493"/>
      <c r="AR1" s="493"/>
      <c r="AS1" s="494"/>
      <c r="AT1" s="493"/>
      <c r="AU1" s="493"/>
      <c r="AV1" s="489"/>
      <c r="AW1" s="489"/>
      <c r="AX1" s="489"/>
      <c r="AY1" s="489"/>
      <c r="AZ1" s="489"/>
      <c r="BA1" s="489"/>
      <c r="BB1" s="489"/>
      <c r="BO1" s="489"/>
      <c r="BP1" s="493"/>
      <c r="BQ1" s="494"/>
      <c r="BR1" s="493"/>
      <c r="BS1" s="493"/>
      <c r="BT1" s="491"/>
      <c r="BU1" s="489"/>
      <c r="BV1" s="493"/>
      <c r="BW1" s="493"/>
      <c r="BX1" s="494"/>
      <c r="BY1" s="493"/>
      <c r="BZ1" s="493"/>
      <c r="CA1" s="489"/>
      <c r="CB1" s="489"/>
      <c r="CC1" s="489"/>
      <c r="CD1" s="489"/>
      <c r="CE1" s="489"/>
      <c r="CF1" s="489"/>
      <c r="CG1" s="489"/>
      <c r="CL1" s="489"/>
      <c r="CM1" s="493"/>
      <c r="CN1" s="494"/>
      <c r="CO1" s="493"/>
      <c r="CP1" s="493"/>
      <c r="CQ1" s="491"/>
      <c r="CR1" s="489"/>
      <c r="CS1" s="493"/>
      <c r="CT1" s="493"/>
      <c r="CU1" s="494"/>
      <c r="CV1" s="493"/>
      <c r="CW1" s="493"/>
      <c r="CX1" s="489"/>
      <c r="CY1" s="489"/>
      <c r="CZ1" s="489"/>
      <c r="DA1" s="489"/>
      <c r="DB1" s="489"/>
      <c r="DC1" s="489"/>
      <c r="DD1" s="489"/>
    </row>
    <row r="2" spans="1:108">
      <c r="A2" s="377" t="s">
        <v>175</v>
      </c>
      <c r="B2" s="4" t="s">
        <v>176</v>
      </c>
      <c r="C2" s="4" t="s">
        <v>177</v>
      </c>
      <c r="D2" s="4" t="s">
        <v>178</v>
      </c>
      <c r="E2" s="4" t="s">
        <v>179</v>
      </c>
      <c r="F2" s="682" t="s">
        <v>1162</v>
      </c>
      <c r="G2" s="682" t="s">
        <v>1258</v>
      </c>
      <c r="H2" s="406" t="s">
        <v>480</v>
      </c>
      <c r="I2" s="4"/>
      <c r="J2" s="4" t="s">
        <v>176</v>
      </c>
      <c r="K2" s="4" t="s">
        <v>177</v>
      </c>
      <c r="L2" s="377" t="s">
        <v>178</v>
      </c>
      <c r="M2" s="377" t="s">
        <v>135</v>
      </c>
      <c r="N2" s="489" t="s">
        <v>1164</v>
      </c>
      <c r="P2" s="377" t="s">
        <v>182</v>
      </c>
      <c r="U2" s="377" t="s">
        <v>300</v>
      </c>
      <c r="AA2" s="430" t="s">
        <v>528</v>
      </c>
      <c r="AB2" s="241" t="s">
        <v>526</v>
      </c>
      <c r="AC2" s="430" t="s">
        <v>527</v>
      </c>
      <c r="AJ2" s="489"/>
      <c r="AK2" s="490"/>
      <c r="AL2" s="490"/>
      <c r="AM2" s="490"/>
      <c r="AN2" s="490"/>
      <c r="AO2" s="497"/>
      <c r="AP2" s="490"/>
      <c r="AQ2" s="490"/>
      <c r="AR2" s="490"/>
      <c r="AS2" s="489"/>
      <c r="AT2" s="489"/>
      <c r="AU2" s="489"/>
      <c r="AV2" s="489"/>
      <c r="AW2" s="489"/>
      <c r="AX2" s="489"/>
      <c r="AY2" s="489"/>
      <c r="AZ2" s="489"/>
      <c r="BA2" s="489"/>
      <c r="BB2" s="489"/>
      <c r="BO2" s="489"/>
      <c r="BP2" s="490"/>
      <c r="BQ2" s="490"/>
      <c r="BR2" s="490"/>
      <c r="BS2" s="490"/>
      <c r="BT2" s="497"/>
      <c r="BU2" s="490"/>
      <c r="BV2" s="490"/>
      <c r="BW2" s="490"/>
      <c r="BX2" s="489"/>
      <c r="BY2" s="489"/>
      <c r="BZ2" s="489"/>
      <c r="CA2" s="489"/>
      <c r="CB2" s="489"/>
      <c r="CC2" s="489"/>
      <c r="CD2" s="489"/>
      <c r="CE2" s="489"/>
      <c r="CF2" s="489"/>
      <c r="CG2" s="489"/>
      <c r="CL2" s="489"/>
      <c r="CM2" s="490"/>
      <c r="CN2" s="490"/>
      <c r="CO2" s="490"/>
      <c r="CP2" s="490"/>
      <c r="CQ2" s="497"/>
      <c r="CR2" s="490"/>
      <c r="CS2" s="490"/>
      <c r="CT2" s="490"/>
      <c r="CU2" s="489"/>
      <c r="CV2" s="489"/>
      <c r="CW2" s="489"/>
      <c r="CX2" s="489"/>
      <c r="CY2" s="489"/>
      <c r="CZ2" s="489"/>
      <c r="DA2" s="489"/>
      <c r="DB2" s="489"/>
      <c r="DC2" s="489"/>
      <c r="DD2" s="489"/>
    </row>
    <row r="3" spans="1:108">
      <c r="A3" s="241">
        <v>2308.3619178082195</v>
      </c>
      <c r="B3" s="375">
        <v>0</v>
      </c>
      <c r="C3" s="375">
        <v>0</v>
      </c>
      <c r="D3" s="375">
        <v>52691.638082191777</v>
      </c>
      <c r="E3" s="375">
        <v>0</v>
      </c>
      <c r="F3" s="496">
        <v>15000</v>
      </c>
      <c r="G3" s="496">
        <v>0</v>
      </c>
      <c r="H3" s="406">
        <v>6.7137893742386198E-2</v>
      </c>
      <c r="I3" s="375"/>
      <c r="J3" s="375">
        <v>0</v>
      </c>
      <c r="K3" s="375">
        <v>0</v>
      </c>
      <c r="L3" s="241">
        <v>350000</v>
      </c>
      <c r="M3" s="241">
        <v>15000</v>
      </c>
      <c r="N3" s="495">
        <v>500000</v>
      </c>
      <c r="O3" s="241"/>
      <c r="P3" s="241">
        <v>865000</v>
      </c>
      <c r="R3" s="82"/>
      <c r="U3" s="377">
        <v>2308</v>
      </c>
      <c r="AA3" s="241">
        <v>865000</v>
      </c>
      <c r="AB3" s="241">
        <v>26401</v>
      </c>
      <c r="AC3" s="430" t="s">
        <v>1259</v>
      </c>
      <c r="AJ3" s="495"/>
      <c r="AK3" s="496"/>
      <c r="AL3" s="496"/>
      <c r="AM3" s="496"/>
      <c r="AN3" s="496"/>
      <c r="AO3" s="497"/>
      <c r="AP3" s="496"/>
      <c r="AQ3" s="496"/>
      <c r="AR3" s="496"/>
      <c r="AS3" s="495"/>
      <c r="AT3" s="495"/>
      <c r="AU3" s="495"/>
      <c r="AV3" s="495"/>
      <c r="AW3" s="489"/>
      <c r="AX3" s="492"/>
      <c r="AY3" s="489"/>
      <c r="AZ3" s="489"/>
      <c r="BA3" s="489"/>
      <c r="BB3" s="489"/>
      <c r="BO3" s="495"/>
      <c r="BP3" s="496"/>
      <c r="BQ3" s="496"/>
      <c r="BR3" s="496"/>
      <c r="BS3" s="496"/>
      <c r="BT3" s="497"/>
      <c r="BU3" s="496"/>
      <c r="BV3" s="496"/>
      <c r="BW3" s="496"/>
      <c r="BX3" s="495"/>
      <c r="BY3" s="495"/>
      <c r="BZ3" s="495"/>
      <c r="CA3" s="495"/>
      <c r="CB3" s="489"/>
      <c r="CC3" s="492"/>
      <c r="CD3" s="489"/>
      <c r="CE3" s="489"/>
      <c r="CF3" s="489"/>
      <c r="CG3" s="489"/>
      <c r="CL3" s="495"/>
      <c r="CM3" s="496"/>
      <c r="CN3" s="496"/>
      <c r="CO3" s="496"/>
      <c r="CP3" s="496"/>
      <c r="CQ3" s="497"/>
      <c r="CR3" s="496"/>
      <c r="CS3" s="496"/>
      <c r="CT3" s="496"/>
      <c r="CU3" s="495"/>
      <c r="CV3" s="495"/>
      <c r="CW3" s="495"/>
      <c r="CX3" s="495"/>
      <c r="CY3" s="489"/>
      <c r="CZ3" s="492"/>
      <c r="DA3" s="489"/>
      <c r="DB3" s="489"/>
      <c r="DC3" s="489"/>
      <c r="DD3" s="489"/>
    </row>
    <row r="4" spans="1:108">
      <c r="A4" s="241">
        <v>1910.5560975609756</v>
      </c>
      <c r="B4" s="375">
        <v>0</v>
      </c>
      <c r="C4" s="375">
        <v>0</v>
      </c>
      <c r="D4" s="375">
        <v>53455.29756097561</v>
      </c>
      <c r="E4" s="375">
        <v>0</v>
      </c>
      <c r="F4" s="496">
        <v>14634.146341463416</v>
      </c>
      <c r="G4" s="496">
        <v>0</v>
      </c>
      <c r="H4" s="406">
        <v>5.5589587653974738E-2</v>
      </c>
      <c r="I4" s="375"/>
      <c r="J4" s="375">
        <v>0</v>
      </c>
      <c r="K4" s="375">
        <v>0</v>
      </c>
      <c r="L4" s="241">
        <v>302581.55686611426</v>
      </c>
      <c r="M4" s="241">
        <v>14268.292682926831</v>
      </c>
      <c r="N4" s="495">
        <v>487804.87804878055</v>
      </c>
      <c r="O4" s="241"/>
      <c r="P4" s="241">
        <v>804654.72759782162</v>
      </c>
      <c r="R4" s="82"/>
      <c r="U4" s="377">
        <v>4219</v>
      </c>
      <c r="AA4" s="241">
        <v>804654.72759782162</v>
      </c>
      <c r="AB4" s="241">
        <v>24463.559134734085</v>
      </c>
      <c r="AC4" s="377" t="s">
        <v>1259</v>
      </c>
      <c r="AJ4" s="495"/>
      <c r="AK4" s="496"/>
      <c r="AL4" s="496"/>
      <c r="AM4" s="496"/>
      <c r="AN4" s="496"/>
      <c r="AO4" s="497"/>
      <c r="AP4" s="496"/>
      <c r="AQ4" s="496"/>
      <c r="AR4" s="496"/>
      <c r="AS4" s="495"/>
      <c r="AT4" s="495"/>
      <c r="AU4" s="495"/>
      <c r="AV4" s="495"/>
      <c r="AW4" s="489"/>
      <c r="AX4" s="492"/>
      <c r="AY4" s="489"/>
      <c r="AZ4" s="489"/>
      <c r="BA4" s="489"/>
      <c r="BB4" s="489"/>
      <c r="BO4" s="495"/>
      <c r="BP4" s="496"/>
      <c r="BQ4" s="496"/>
      <c r="BR4" s="496"/>
      <c r="BS4" s="496"/>
      <c r="BT4" s="497"/>
      <c r="BU4" s="496"/>
      <c r="BV4" s="496"/>
      <c r="BW4" s="496"/>
      <c r="BX4" s="495"/>
      <c r="BY4" s="495"/>
      <c r="BZ4" s="495"/>
      <c r="CA4" s="495"/>
      <c r="CB4" s="489"/>
      <c r="CC4" s="492"/>
      <c r="CD4" s="489"/>
      <c r="CE4" s="489"/>
      <c r="CF4" s="489"/>
      <c r="CG4" s="489"/>
      <c r="CL4" s="495"/>
      <c r="CM4" s="496"/>
      <c r="CN4" s="496"/>
      <c r="CO4" s="496"/>
      <c r="CP4" s="496"/>
      <c r="CQ4" s="497"/>
      <c r="CR4" s="496"/>
      <c r="CS4" s="496"/>
      <c r="CT4" s="496"/>
      <c r="CU4" s="495"/>
      <c r="CV4" s="495"/>
      <c r="CW4" s="495"/>
      <c r="CX4" s="495"/>
      <c r="CY4" s="489"/>
      <c r="CZ4" s="492"/>
      <c r="DA4" s="489"/>
      <c r="DB4" s="489"/>
      <c r="DC4" s="489"/>
      <c r="DD4" s="489"/>
    </row>
    <row r="5" spans="1:108">
      <c r="A5" s="241">
        <v>5534.8400951814401</v>
      </c>
      <c r="B5" s="375">
        <v>0</v>
      </c>
      <c r="C5" s="375">
        <v>0</v>
      </c>
      <c r="D5" s="375">
        <v>50187.94396192742</v>
      </c>
      <c r="E5" s="375">
        <v>0</v>
      </c>
      <c r="F5" s="496">
        <v>14277.215942891138</v>
      </c>
      <c r="G5" s="496">
        <v>0</v>
      </c>
      <c r="H5" s="406">
        <v>0.16110332566013214</v>
      </c>
      <c r="I5" s="375"/>
      <c r="J5" s="375">
        <v>0</v>
      </c>
      <c r="K5" s="375">
        <v>0</v>
      </c>
      <c r="L5" s="241">
        <v>253620.65956370445</v>
      </c>
      <c r="M5" s="241">
        <v>13572.278405710887</v>
      </c>
      <c r="N5" s="495">
        <v>475907.19809637131</v>
      </c>
      <c r="O5" s="241"/>
      <c r="P5" s="241">
        <v>743100.1360657867</v>
      </c>
      <c r="U5" s="377">
        <v>9754</v>
      </c>
      <c r="AA5" s="241">
        <v>743100.05822248105</v>
      </c>
      <c r="AB5" s="241">
        <v>22485.652844045031</v>
      </c>
      <c r="AC5" s="377" t="s">
        <v>1259</v>
      </c>
      <c r="AJ5" s="495"/>
      <c r="AK5" s="496"/>
      <c r="AL5" s="496"/>
      <c r="AM5" s="496"/>
      <c r="AN5" s="496"/>
      <c r="AO5" s="497"/>
      <c r="AP5" s="496"/>
      <c r="AQ5" s="496"/>
      <c r="AR5" s="496"/>
      <c r="AS5" s="495"/>
      <c r="AT5" s="495"/>
      <c r="AU5" s="495"/>
      <c r="AV5" s="495"/>
      <c r="AW5" s="489"/>
      <c r="AX5" s="489"/>
      <c r="AY5" s="489"/>
      <c r="AZ5" s="489"/>
      <c r="BA5" s="489"/>
      <c r="BB5" s="489"/>
      <c r="BO5" s="495"/>
      <c r="BP5" s="496"/>
      <c r="BQ5" s="496"/>
      <c r="BR5" s="496"/>
      <c r="BS5" s="496"/>
      <c r="BT5" s="497"/>
      <c r="BU5" s="496"/>
      <c r="BV5" s="496"/>
      <c r="BW5" s="496"/>
      <c r="BX5" s="495"/>
      <c r="BY5" s="495"/>
      <c r="BZ5" s="495"/>
      <c r="CA5" s="495"/>
      <c r="CB5" s="489"/>
      <c r="CC5" s="489"/>
      <c r="CD5" s="489"/>
      <c r="CE5" s="489"/>
      <c r="CF5" s="489"/>
      <c r="CG5" s="489"/>
      <c r="CL5" s="495"/>
      <c r="CM5" s="496"/>
      <c r="CN5" s="496"/>
      <c r="CO5" s="496"/>
      <c r="CP5" s="496"/>
      <c r="CQ5" s="497"/>
      <c r="CR5" s="496"/>
      <c r="CS5" s="496"/>
      <c r="CT5" s="496"/>
      <c r="CU5" s="495"/>
      <c r="CV5" s="495"/>
      <c r="CW5" s="495"/>
      <c r="CX5" s="495"/>
      <c r="CY5" s="489"/>
      <c r="CZ5" s="489"/>
      <c r="DA5" s="489"/>
      <c r="DB5" s="489"/>
      <c r="DC5" s="489"/>
      <c r="DD5" s="489"/>
    </row>
    <row r="6" spans="1:108">
      <c r="A6" s="241">
        <v>10085.043995298969</v>
      </c>
      <c r="B6" s="375">
        <v>0</v>
      </c>
      <c r="C6" s="375">
        <v>0</v>
      </c>
      <c r="D6" s="375">
        <v>45985.964840904795</v>
      </c>
      <c r="E6" s="375">
        <v>0</v>
      </c>
      <c r="F6" s="496">
        <v>13928.991163796234</v>
      </c>
      <c r="G6" s="496">
        <v>0</v>
      </c>
      <c r="H6" s="406">
        <v>0.29365608932858295</v>
      </c>
      <c r="I6" s="375"/>
      <c r="J6" s="375">
        <v>0</v>
      </c>
      <c r="K6" s="375">
        <v>0</v>
      </c>
      <c r="L6" s="241">
        <v>207156.02846288119</v>
      </c>
      <c r="M6" s="241">
        <v>12910.216044456698</v>
      </c>
      <c r="N6" s="495">
        <v>464299.70545987447</v>
      </c>
      <c r="O6" s="241"/>
      <c r="P6" s="241">
        <v>684365.94996721239</v>
      </c>
      <c r="R6" s="377" t="s">
        <v>446</v>
      </c>
      <c r="U6" s="377">
        <v>19839</v>
      </c>
      <c r="AA6" s="241">
        <v>684365.84303788678</v>
      </c>
      <c r="AB6" s="241">
        <v>20598.307877286479</v>
      </c>
      <c r="AC6" s="377" t="s">
        <v>1259</v>
      </c>
      <c r="AJ6" s="495"/>
      <c r="AK6" s="496"/>
      <c r="AL6" s="496"/>
      <c r="AM6" s="496"/>
      <c r="AN6" s="496"/>
      <c r="AO6" s="497"/>
      <c r="AP6" s="496"/>
      <c r="AQ6" s="496"/>
      <c r="AR6" s="496"/>
      <c r="AS6" s="495"/>
      <c r="AT6" s="495"/>
      <c r="AU6" s="495"/>
      <c r="AV6" s="495"/>
      <c r="AW6" s="489"/>
      <c r="AX6" s="489"/>
      <c r="AY6" s="489"/>
      <c r="AZ6" s="489"/>
      <c r="BA6" s="489"/>
      <c r="BB6" s="489"/>
      <c r="BO6" s="495"/>
      <c r="BP6" s="496"/>
      <c r="BQ6" s="496"/>
      <c r="BR6" s="496"/>
      <c r="BS6" s="496"/>
      <c r="BT6" s="497"/>
      <c r="BU6" s="496"/>
      <c r="BV6" s="496"/>
      <c r="BW6" s="496"/>
      <c r="BX6" s="495"/>
      <c r="BY6" s="495"/>
      <c r="BZ6" s="495"/>
      <c r="CA6" s="495"/>
      <c r="CB6" s="489"/>
      <c r="CC6" s="489"/>
      <c r="CD6" s="489"/>
      <c r="CE6" s="489"/>
      <c r="CF6" s="489"/>
      <c r="CG6" s="489"/>
      <c r="CL6" s="495"/>
      <c r="CM6" s="496"/>
      <c r="CN6" s="496"/>
      <c r="CO6" s="496"/>
      <c r="CP6" s="496"/>
      <c r="CQ6" s="497"/>
      <c r="CR6" s="496"/>
      <c r="CS6" s="496"/>
      <c r="CT6" s="496"/>
      <c r="CU6" s="495"/>
      <c r="CV6" s="495"/>
      <c r="CW6" s="495"/>
      <c r="CX6" s="495"/>
      <c r="CY6" s="489"/>
      <c r="CZ6" s="489"/>
      <c r="DA6" s="489"/>
      <c r="DB6" s="489"/>
      <c r="DC6" s="489"/>
      <c r="DD6" s="489"/>
    </row>
    <row r="7" spans="1:108">
      <c r="A7" s="241">
        <v>14362.559995413627</v>
      </c>
      <c r="B7" s="375">
        <v>0</v>
      </c>
      <c r="C7" s="375">
        <v>0</v>
      </c>
      <c r="D7" s="375">
        <v>42048.180332590047</v>
      </c>
      <c r="E7" s="375">
        <v>0</v>
      </c>
      <c r="F7" s="496">
        <v>13589.259671996328</v>
      </c>
      <c r="G7" s="496">
        <v>0</v>
      </c>
      <c r="H7" s="406">
        <v>0.41836078401670074</v>
      </c>
      <c r="I7" s="375"/>
      <c r="J7" s="375">
        <v>0</v>
      </c>
      <c r="K7" s="375">
        <v>0</v>
      </c>
      <c r="L7" s="241">
        <v>164170.57373798476</v>
      </c>
      <c r="M7" s="241">
        <v>12280.449408141734</v>
      </c>
      <c r="N7" s="495">
        <v>452975.32239987759</v>
      </c>
      <c r="O7" s="241"/>
      <c r="P7" s="241">
        <v>629426.34554600413</v>
      </c>
      <c r="R7" s="377">
        <v>30109.507475538157</v>
      </c>
      <c r="U7" s="377">
        <v>34202</v>
      </c>
      <c r="AA7" s="241">
        <v>629426.44254000066</v>
      </c>
      <c r="AB7" s="241">
        <v>18833.244776785417</v>
      </c>
      <c r="AC7" s="377" t="s">
        <v>1259</v>
      </c>
      <c r="AJ7" s="495"/>
      <c r="AK7" s="496"/>
      <c r="AL7" s="496"/>
      <c r="AM7" s="496"/>
      <c r="AN7" s="496"/>
      <c r="AO7" s="497"/>
      <c r="AP7" s="496"/>
      <c r="AQ7" s="496"/>
      <c r="AR7" s="496"/>
      <c r="AS7" s="495"/>
      <c r="AT7" s="495"/>
      <c r="AU7" s="495"/>
      <c r="AV7" s="495"/>
      <c r="AW7" s="489"/>
      <c r="AX7" s="489"/>
      <c r="AY7" s="489"/>
      <c r="AZ7" s="489"/>
      <c r="BA7" s="489"/>
      <c r="BB7" s="489"/>
      <c r="BO7" s="495"/>
      <c r="BP7" s="496"/>
      <c r="BQ7" s="496"/>
      <c r="BR7" s="496"/>
      <c r="BS7" s="496"/>
      <c r="BT7" s="497"/>
      <c r="BU7" s="496"/>
      <c r="BV7" s="496"/>
      <c r="BW7" s="496"/>
      <c r="BX7" s="495"/>
      <c r="BY7" s="495"/>
      <c r="BZ7" s="495"/>
      <c r="CA7" s="495"/>
      <c r="CB7" s="489"/>
      <c r="CC7" s="489"/>
      <c r="CD7" s="489"/>
      <c r="CE7" s="489"/>
      <c r="CF7" s="489"/>
      <c r="CG7" s="489"/>
      <c r="CL7" s="495"/>
      <c r="CM7" s="496"/>
      <c r="CN7" s="496"/>
      <c r="CO7" s="496"/>
      <c r="CP7" s="496"/>
      <c r="CQ7" s="497"/>
      <c r="CR7" s="496"/>
      <c r="CS7" s="496"/>
      <c r="CT7" s="496"/>
      <c r="CU7" s="495"/>
      <c r="CV7" s="495"/>
      <c r="CW7" s="495"/>
      <c r="CX7" s="495"/>
      <c r="CY7" s="489"/>
      <c r="CZ7" s="489"/>
      <c r="DA7" s="489"/>
      <c r="DB7" s="489"/>
      <c r="DC7" s="489"/>
      <c r="DD7" s="489"/>
    </row>
    <row r="8" spans="1:108">
      <c r="A8" s="241">
        <v>18367.380483330366</v>
      </c>
      <c r="B8" s="375">
        <v>0</v>
      </c>
      <c r="C8" s="375">
        <v>0</v>
      </c>
      <c r="D8" s="375">
        <v>38374.805202526877</v>
      </c>
      <c r="E8" s="375">
        <v>0</v>
      </c>
      <c r="F8" s="496">
        <v>13257.814314142759</v>
      </c>
      <c r="G8" s="496">
        <v>0</v>
      </c>
      <c r="H8" s="406">
        <v>0.53520533966490769</v>
      </c>
      <c r="I8" s="375"/>
      <c r="J8" s="375">
        <v>0</v>
      </c>
      <c r="K8" s="375">
        <v>0</v>
      </c>
      <c r="L8" s="241">
        <v>124454.63367431881</v>
      </c>
      <c r="M8" s="241">
        <v>11681.403095549453</v>
      </c>
      <c r="N8" s="495">
        <v>441927.14380475867</v>
      </c>
      <c r="O8" s="241"/>
      <c r="P8" s="241">
        <v>578063.18057462689</v>
      </c>
      <c r="R8" s="377" t="s">
        <v>447</v>
      </c>
      <c r="U8" s="377">
        <v>52569</v>
      </c>
      <c r="AA8" s="241">
        <v>578063.74403202441</v>
      </c>
      <c r="AB8" s="241">
        <v>17183.426080435438</v>
      </c>
      <c r="AC8" s="377" t="s">
        <v>1259</v>
      </c>
      <c r="AJ8" s="495"/>
      <c r="AK8" s="496"/>
      <c r="AL8" s="496"/>
      <c r="AM8" s="496"/>
      <c r="AN8" s="496"/>
      <c r="AO8" s="497"/>
      <c r="AP8" s="496"/>
      <c r="AQ8" s="496"/>
      <c r="AR8" s="496"/>
      <c r="AS8" s="495"/>
      <c r="AT8" s="495"/>
      <c r="AU8" s="495"/>
      <c r="AV8" s="495"/>
      <c r="AW8" s="489"/>
      <c r="AX8" s="489"/>
      <c r="AY8" s="489"/>
      <c r="AZ8" s="489"/>
      <c r="BA8" s="489"/>
      <c r="BB8" s="489"/>
      <c r="BO8" s="495"/>
      <c r="BP8" s="496"/>
      <c r="BQ8" s="496"/>
      <c r="BR8" s="496"/>
      <c r="BS8" s="496"/>
      <c r="BT8" s="497"/>
      <c r="BU8" s="496"/>
      <c r="BV8" s="496"/>
      <c r="BW8" s="496"/>
      <c r="BX8" s="495"/>
      <c r="BY8" s="495"/>
      <c r="BZ8" s="495"/>
      <c r="CA8" s="495"/>
      <c r="CB8" s="489"/>
      <c r="CC8" s="489"/>
      <c r="CD8" s="489"/>
      <c r="CE8" s="489"/>
      <c r="CF8" s="489"/>
      <c r="CG8" s="489"/>
      <c r="CL8" s="495"/>
      <c r="CM8" s="496"/>
      <c r="CN8" s="496"/>
      <c r="CO8" s="496"/>
      <c r="CP8" s="496"/>
      <c r="CQ8" s="497"/>
      <c r="CR8" s="496"/>
      <c r="CS8" s="496"/>
      <c r="CT8" s="496"/>
      <c r="CU8" s="495"/>
      <c r="CV8" s="495"/>
      <c r="CW8" s="495"/>
      <c r="CX8" s="495"/>
      <c r="CY8" s="489"/>
      <c r="CZ8" s="489"/>
      <c r="DA8" s="489"/>
      <c r="DB8" s="489"/>
      <c r="DC8" s="489"/>
      <c r="DD8" s="489"/>
    </row>
    <row r="9" spans="1:108">
      <c r="A9" s="241">
        <v>22099.498032517433</v>
      </c>
      <c r="B9" s="375">
        <v>0</v>
      </c>
      <c r="C9" s="375">
        <v>0</v>
      </c>
      <c r="D9" s="375">
        <v>34966.048978074992</v>
      </c>
      <c r="E9" s="375">
        <v>0</v>
      </c>
      <c r="F9" s="496">
        <v>12934.452989407571</v>
      </c>
      <c r="G9" s="496">
        <v>0</v>
      </c>
      <c r="H9" s="406">
        <v>0.64417819654954034</v>
      </c>
      <c r="I9" s="375"/>
      <c r="J9" s="375">
        <v>0</v>
      </c>
      <c r="K9" s="375">
        <v>0</v>
      </c>
      <c r="L9" s="241">
        <v>87794.914090250502</v>
      </c>
      <c r="M9" s="241">
        <v>11111.57855430314</v>
      </c>
      <c r="N9" s="495">
        <v>431148.43298025237</v>
      </c>
      <c r="O9" s="241"/>
      <c r="P9" s="241">
        <v>530054.92562480597</v>
      </c>
      <c r="R9" s="377">
        <v>22582.13060665362</v>
      </c>
      <c r="U9" s="377">
        <v>74668</v>
      </c>
      <c r="AA9" s="241">
        <v>530055.72922561772</v>
      </c>
      <c r="AB9" s="241">
        <v>15641.684896817724</v>
      </c>
      <c r="AC9" s="377" t="s">
        <v>1259</v>
      </c>
      <c r="AJ9" s="495"/>
      <c r="AK9" s="496"/>
      <c r="AL9" s="496"/>
      <c r="AM9" s="496"/>
      <c r="AN9" s="496"/>
      <c r="AO9" s="497"/>
      <c r="AP9" s="496"/>
      <c r="AQ9" s="496"/>
      <c r="AR9" s="496"/>
      <c r="AS9" s="495"/>
      <c r="AT9" s="495"/>
      <c r="AU9" s="495"/>
      <c r="AV9" s="495"/>
      <c r="AW9" s="489"/>
      <c r="AX9" s="489"/>
      <c r="AY9" s="489"/>
      <c r="AZ9" s="489"/>
      <c r="BA9" s="489"/>
      <c r="BB9" s="489"/>
      <c r="BO9" s="495"/>
      <c r="BP9" s="496"/>
      <c r="BQ9" s="496"/>
      <c r="BR9" s="496"/>
      <c r="BS9" s="496"/>
      <c r="BT9" s="497"/>
      <c r="BU9" s="496"/>
      <c r="BV9" s="496"/>
      <c r="BW9" s="496"/>
      <c r="BX9" s="495"/>
      <c r="BY9" s="495"/>
      <c r="BZ9" s="495"/>
      <c r="CA9" s="495"/>
      <c r="CB9" s="489"/>
      <c r="CC9" s="489"/>
      <c r="CD9" s="489"/>
      <c r="CE9" s="489"/>
      <c r="CF9" s="489"/>
      <c r="CG9" s="489"/>
      <c r="CL9" s="495"/>
      <c r="CM9" s="496"/>
      <c r="CN9" s="496"/>
      <c r="CO9" s="496"/>
      <c r="CP9" s="496"/>
      <c r="CQ9" s="497"/>
      <c r="CR9" s="496"/>
      <c r="CS9" s="496"/>
      <c r="CT9" s="496"/>
      <c r="CU9" s="495"/>
      <c r="CV9" s="495"/>
      <c r="CW9" s="495"/>
      <c r="CX9" s="495"/>
      <c r="CY9" s="489"/>
      <c r="CZ9" s="489"/>
      <c r="DA9" s="489"/>
      <c r="DB9" s="489"/>
      <c r="DC9" s="489"/>
      <c r="DD9" s="489"/>
    </row>
    <row r="10" spans="1:108">
      <c r="A10" s="241">
        <v>25597.905397577983</v>
      </c>
      <c r="B10" s="375">
        <v>0</v>
      </c>
      <c r="C10" s="375">
        <v>0</v>
      </c>
      <c r="D10" s="375">
        <v>31783.116076170729</v>
      </c>
      <c r="E10" s="375">
        <v>0</v>
      </c>
      <c r="F10" s="496">
        <v>12618.978526251291</v>
      </c>
      <c r="G10" s="496">
        <v>0</v>
      </c>
      <c r="H10" s="406">
        <v>0.74640548212113711</v>
      </c>
      <c r="I10" s="375"/>
      <c r="J10" s="375">
        <v>0</v>
      </c>
      <c r="K10" s="375">
        <v>0</v>
      </c>
      <c r="L10" s="241">
        <v>53974.434435434297</v>
      </c>
      <c r="M10" s="241">
        <v>10569.550332142011</v>
      </c>
      <c r="N10" s="495">
        <v>420632.61754170968</v>
      </c>
      <c r="O10" s="241"/>
      <c r="P10" s="241">
        <v>485176.60230928601</v>
      </c>
      <c r="U10" s="377">
        <v>100266</v>
      </c>
      <c r="AA10" s="241">
        <v>485176.6200255446</v>
      </c>
      <c r="AB10" s="241">
        <v>14200.729765035585</v>
      </c>
      <c r="AC10" s="377" t="s">
        <v>1259</v>
      </c>
      <c r="AJ10" s="495"/>
      <c r="AK10" s="496"/>
      <c r="AL10" s="496"/>
      <c r="AM10" s="496"/>
      <c r="AN10" s="496"/>
      <c r="AO10" s="497"/>
      <c r="AP10" s="496"/>
      <c r="AQ10" s="496"/>
      <c r="AR10" s="496"/>
      <c r="AS10" s="495"/>
      <c r="AT10" s="495"/>
      <c r="AU10" s="495"/>
      <c r="AV10" s="495"/>
      <c r="AW10" s="489"/>
      <c r="AX10" s="489"/>
      <c r="AY10" s="489"/>
      <c r="AZ10" s="489"/>
      <c r="BA10" s="489"/>
      <c r="BB10" s="489"/>
      <c r="BO10" s="495"/>
      <c r="BP10" s="496"/>
      <c r="BQ10" s="496"/>
      <c r="BR10" s="496"/>
      <c r="BS10" s="496"/>
      <c r="BT10" s="497"/>
      <c r="BU10" s="496"/>
      <c r="BV10" s="496"/>
      <c r="BW10" s="496"/>
      <c r="BX10" s="495"/>
      <c r="BY10" s="495"/>
      <c r="BZ10" s="495"/>
      <c r="CA10" s="495"/>
      <c r="CB10" s="489"/>
      <c r="CC10" s="489"/>
      <c r="CD10" s="489"/>
      <c r="CE10" s="489"/>
      <c r="CF10" s="489"/>
      <c r="CG10" s="489"/>
      <c r="CL10" s="495"/>
      <c r="CM10" s="496"/>
      <c r="CN10" s="496"/>
      <c r="CO10" s="496"/>
      <c r="CP10" s="496"/>
      <c r="CQ10" s="497"/>
      <c r="CR10" s="496"/>
      <c r="CS10" s="496"/>
      <c r="CT10" s="496"/>
      <c r="CU10" s="495"/>
      <c r="CV10" s="495"/>
      <c r="CW10" s="495"/>
      <c r="CX10" s="495"/>
      <c r="CY10" s="489"/>
      <c r="CZ10" s="489"/>
      <c r="DA10" s="489"/>
      <c r="DB10" s="489"/>
      <c r="DC10" s="489"/>
      <c r="DD10" s="489"/>
    </row>
    <row r="11" spans="1:108">
      <c r="A11" s="241">
        <v>28862.595509832179</v>
      </c>
      <c r="B11" s="375">
        <v>0</v>
      </c>
      <c r="C11" s="375">
        <v>0</v>
      </c>
      <c r="D11" s="375">
        <v>22811.790589347205</v>
      </c>
      <c r="E11" s="375">
        <v>0</v>
      </c>
      <c r="F11" s="496">
        <v>12311.198562196381</v>
      </c>
      <c r="G11" s="496">
        <v>6014.42</v>
      </c>
      <c r="H11" s="406">
        <v>0.84187772841838271</v>
      </c>
      <c r="I11" s="375"/>
      <c r="J11" s="375">
        <v>0</v>
      </c>
      <c r="K11" s="375">
        <v>0</v>
      </c>
      <c r="L11" s="241">
        <v>22811.790589347205</v>
      </c>
      <c r="M11" s="241">
        <v>10053.962511061911</v>
      </c>
      <c r="N11" s="495">
        <v>410373.28540654609</v>
      </c>
      <c r="O11" s="241"/>
      <c r="P11" s="241">
        <v>443239.0385069552</v>
      </c>
      <c r="U11" s="377">
        <v>129129</v>
      </c>
      <c r="AA11" s="241">
        <v>443239.33361562918</v>
      </c>
      <c r="AB11" s="241">
        <v>12854.524560898437</v>
      </c>
      <c r="AC11" s="377" t="s">
        <v>1259</v>
      </c>
      <c r="AJ11" s="495"/>
      <c r="AK11" s="496"/>
      <c r="AL11" s="496"/>
      <c r="AM11" s="496"/>
      <c r="AN11" s="496"/>
      <c r="AO11" s="497"/>
      <c r="AP11" s="496"/>
      <c r="AQ11" s="496"/>
      <c r="AR11" s="496"/>
      <c r="AS11" s="495"/>
      <c r="AT11" s="495"/>
      <c r="AU11" s="495"/>
      <c r="AV11" s="495"/>
      <c r="AW11" s="489"/>
      <c r="AX11" s="489"/>
      <c r="AY11" s="489"/>
      <c r="AZ11" s="489"/>
      <c r="BA11" s="489"/>
      <c r="BB11" s="489"/>
      <c r="BO11" s="495"/>
      <c r="BP11" s="496"/>
      <c r="BQ11" s="496"/>
      <c r="BR11" s="496"/>
      <c r="BS11" s="496"/>
      <c r="BT11" s="497"/>
      <c r="BU11" s="496"/>
      <c r="BV11" s="496"/>
      <c r="BW11" s="496"/>
      <c r="BX11" s="495"/>
      <c r="BY11" s="495"/>
      <c r="BZ11" s="495"/>
      <c r="CA11" s="495"/>
      <c r="CB11" s="489"/>
      <c r="CC11" s="489"/>
      <c r="CD11" s="489"/>
      <c r="CE11" s="489"/>
      <c r="CF11" s="489"/>
      <c r="CG11" s="489"/>
      <c r="CL11" s="495"/>
      <c r="CM11" s="496"/>
      <c r="CN11" s="496"/>
      <c r="CO11" s="496"/>
      <c r="CP11" s="496"/>
      <c r="CQ11" s="497"/>
      <c r="CR11" s="496"/>
      <c r="CS11" s="496"/>
      <c r="CT11" s="496"/>
      <c r="CU11" s="495"/>
      <c r="CV11" s="495"/>
      <c r="CW11" s="495"/>
      <c r="CX11" s="495"/>
      <c r="CY11" s="489"/>
      <c r="CZ11" s="489"/>
      <c r="DA11" s="489"/>
      <c r="DB11" s="489"/>
      <c r="DC11" s="489"/>
      <c r="DD11" s="489"/>
    </row>
    <row r="12" spans="1:108">
      <c r="A12" s="241">
        <v>31893.561473007001</v>
      </c>
      <c r="B12" s="375">
        <v>0</v>
      </c>
      <c r="C12" s="375">
        <v>0</v>
      </c>
      <c r="D12" s="375">
        <v>0</v>
      </c>
      <c r="E12" s="375">
        <v>0</v>
      </c>
      <c r="F12" s="496">
        <v>11834.893621655008</v>
      </c>
      <c r="G12" s="496">
        <v>26271.54</v>
      </c>
      <c r="H12" s="406">
        <v>0.9305858710947621</v>
      </c>
      <c r="I12" s="375"/>
      <c r="J12" s="375">
        <v>0</v>
      </c>
      <c r="K12" s="375">
        <v>0</v>
      </c>
      <c r="L12" s="241">
        <v>0</v>
      </c>
      <c r="M12" s="241">
        <v>9563.5253154003549</v>
      </c>
      <c r="N12" s="495">
        <v>394496.45405516698</v>
      </c>
      <c r="O12" s="241"/>
      <c r="P12" s="241">
        <v>404059.97937056731</v>
      </c>
      <c r="U12" s="377">
        <v>161023</v>
      </c>
      <c r="AA12" s="241">
        <v>404059.97937056731</v>
      </c>
      <c r="AB12" s="241">
        <v>11597.134756792928</v>
      </c>
      <c r="AC12" s="377" t="s">
        <v>1259</v>
      </c>
      <c r="AJ12" s="495"/>
      <c r="AK12" s="496"/>
      <c r="AL12" s="496"/>
      <c r="AM12" s="496"/>
      <c r="AN12" s="496"/>
      <c r="AO12" s="497"/>
      <c r="AP12" s="496"/>
      <c r="AQ12" s="496"/>
      <c r="AR12" s="496"/>
      <c r="AS12" s="495"/>
      <c r="AT12" s="495"/>
      <c r="AU12" s="495"/>
      <c r="AV12" s="495"/>
      <c r="AW12" s="489"/>
      <c r="AX12" s="489"/>
      <c r="AY12" s="489"/>
      <c r="AZ12" s="489"/>
      <c r="BA12" s="489"/>
      <c r="BB12" s="489"/>
      <c r="BO12" s="495"/>
      <c r="BP12" s="496"/>
      <c r="BQ12" s="496"/>
      <c r="BR12" s="496"/>
      <c r="BS12" s="496"/>
      <c r="BT12" s="497"/>
      <c r="BU12" s="496"/>
      <c r="BV12" s="496"/>
      <c r="BW12" s="496"/>
      <c r="BX12" s="495"/>
      <c r="BY12" s="495"/>
      <c r="BZ12" s="495"/>
      <c r="CA12" s="495"/>
      <c r="CB12" s="489"/>
      <c r="CC12" s="489"/>
      <c r="CD12" s="489"/>
      <c r="CE12" s="489"/>
      <c r="CF12" s="489"/>
      <c r="CG12" s="489"/>
      <c r="CL12" s="495"/>
      <c r="CM12" s="496"/>
      <c r="CN12" s="496"/>
      <c r="CO12" s="496"/>
      <c r="CP12" s="496"/>
      <c r="CQ12" s="497"/>
      <c r="CR12" s="496"/>
      <c r="CS12" s="496"/>
      <c r="CT12" s="496"/>
      <c r="CU12" s="495"/>
      <c r="CV12" s="495"/>
      <c r="CW12" s="495"/>
      <c r="CX12" s="495"/>
      <c r="CY12" s="489"/>
      <c r="CZ12" s="489"/>
      <c r="DA12" s="489"/>
      <c r="DB12" s="489"/>
      <c r="DC12" s="489"/>
      <c r="DD12" s="489"/>
    </row>
    <row r="13" spans="1:108">
      <c r="A13" s="241">
        <v>32832.084506937113</v>
      </c>
      <c r="B13" s="375">
        <v>0</v>
      </c>
      <c r="C13" s="375">
        <v>0</v>
      </c>
      <c r="D13" s="375">
        <v>0</v>
      </c>
      <c r="E13" s="375">
        <v>0</v>
      </c>
      <c r="F13" s="496">
        <v>10777.314557712205</v>
      </c>
      <c r="G13" s="496">
        <v>26390.6</v>
      </c>
      <c r="H13" s="406">
        <v>0.95827095495033976</v>
      </c>
      <c r="I13" s="375"/>
      <c r="J13" s="375">
        <v>0</v>
      </c>
      <c r="K13" s="375">
        <v>0</v>
      </c>
      <c r="L13" s="241">
        <v>0</v>
      </c>
      <c r="M13" s="241">
        <v>9097.0118853808272</v>
      </c>
      <c r="N13" s="495">
        <v>359243.81859040685</v>
      </c>
      <c r="O13" s="241"/>
      <c r="P13" s="241">
        <v>368340.83047578769</v>
      </c>
      <c r="U13" s="377">
        <v>193855</v>
      </c>
      <c r="AA13" s="241">
        <v>368340.83047578769</v>
      </c>
      <c r="AB13" s="241">
        <v>10451.424104188223</v>
      </c>
      <c r="AC13" s="377" t="s">
        <v>1260</v>
      </c>
      <c r="AJ13" s="495"/>
      <c r="AK13" s="496"/>
      <c r="AL13" s="496"/>
      <c r="AM13" s="496"/>
      <c r="AN13" s="496"/>
      <c r="AO13" s="497"/>
      <c r="AP13" s="496"/>
      <c r="AQ13" s="496"/>
      <c r="AR13" s="496"/>
      <c r="AS13" s="495"/>
      <c r="AT13" s="495"/>
      <c r="AU13" s="495"/>
      <c r="AV13" s="495"/>
      <c r="AW13" s="489"/>
      <c r="AX13" s="489"/>
      <c r="AY13" s="489"/>
      <c r="AZ13" s="489"/>
      <c r="BA13" s="489"/>
      <c r="BB13" s="489"/>
      <c r="BO13" s="495"/>
      <c r="BP13" s="496"/>
      <c r="BQ13" s="496"/>
      <c r="BR13" s="496"/>
      <c r="BS13" s="496"/>
      <c r="BT13" s="497"/>
      <c r="BU13" s="496"/>
      <c r="BV13" s="496"/>
      <c r="BW13" s="496"/>
      <c r="BX13" s="495"/>
      <c r="BY13" s="495"/>
      <c r="BZ13" s="495"/>
      <c r="CA13" s="495"/>
      <c r="CB13" s="489"/>
      <c r="CC13" s="489"/>
      <c r="CD13" s="489"/>
      <c r="CE13" s="489"/>
      <c r="CF13" s="489"/>
      <c r="CG13" s="489"/>
      <c r="CL13" s="495"/>
      <c r="CM13" s="496"/>
      <c r="CN13" s="496"/>
      <c r="CO13" s="496"/>
      <c r="CP13" s="496"/>
      <c r="CQ13" s="497"/>
      <c r="CR13" s="496"/>
      <c r="CS13" s="496"/>
      <c r="CT13" s="496"/>
      <c r="CU13" s="495"/>
      <c r="CV13" s="495"/>
      <c r="CW13" s="495"/>
      <c r="CX13" s="495"/>
      <c r="CY13" s="489"/>
      <c r="CZ13" s="489"/>
      <c r="DA13" s="489"/>
      <c r="DB13" s="489"/>
      <c r="DC13" s="489"/>
      <c r="DD13" s="489"/>
    </row>
    <row r="14" spans="1:108">
      <c r="A14" s="241">
        <v>33382.352933597183</v>
      </c>
      <c r="B14" s="375">
        <v>0</v>
      </c>
      <c r="C14" s="375">
        <v>0</v>
      </c>
      <c r="D14" s="375">
        <v>0</v>
      </c>
      <c r="E14" s="375">
        <v>0</v>
      </c>
      <c r="F14" s="496">
        <v>9742.0454221582513</v>
      </c>
      <c r="G14" s="496">
        <v>26875.599999999999</v>
      </c>
      <c r="H14" s="406">
        <v>0.97463041060107036</v>
      </c>
      <c r="I14" s="375"/>
      <c r="J14" s="375">
        <v>0</v>
      </c>
      <c r="K14" s="375">
        <v>0</v>
      </c>
      <c r="L14" s="241">
        <v>0</v>
      </c>
      <c r="M14" s="241">
        <v>8653.2552080451769</v>
      </c>
      <c r="N14" s="495">
        <v>324734.84740527504</v>
      </c>
      <c r="O14" s="241"/>
      <c r="P14" s="241">
        <v>333388.10261332022</v>
      </c>
      <c r="U14" s="377">
        <v>227237</v>
      </c>
      <c r="AA14" s="241">
        <v>333388.10261332022</v>
      </c>
      <c r="AB14" s="241">
        <v>9329.8825406714386</v>
      </c>
      <c r="AC14" s="377" t="s">
        <v>1260</v>
      </c>
      <c r="AJ14" s="495"/>
      <c r="AK14" s="496"/>
      <c r="AL14" s="496"/>
      <c r="AM14" s="496"/>
      <c r="AN14" s="496"/>
      <c r="AO14" s="497"/>
      <c r="AP14" s="496"/>
      <c r="AQ14" s="496"/>
      <c r="AR14" s="496"/>
      <c r="AS14" s="495"/>
      <c r="AT14" s="495"/>
      <c r="AU14" s="495"/>
      <c r="AV14" s="495"/>
      <c r="AW14" s="489"/>
      <c r="AX14" s="489"/>
      <c r="AY14" s="489"/>
      <c r="AZ14" s="489"/>
      <c r="BA14" s="489"/>
      <c r="BB14" s="489"/>
      <c r="BO14" s="495"/>
      <c r="BP14" s="496"/>
      <c r="BQ14" s="496"/>
      <c r="BR14" s="496"/>
      <c r="BS14" s="496"/>
      <c r="BT14" s="497"/>
      <c r="BU14" s="496"/>
      <c r="BV14" s="496"/>
      <c r="BW14" s="496"/>
      <c r="BX14" s="495"/>
      <c r="BY14" s="495"/>
      <c r="BZ14" s="495"/>
      <c r="CA14" s="495"/>
      <c r="CB14" s="489"/>
      <c r="CC14" s="489"/>
      <c r="CD14" s="489"/>
      <c r="CE14" s="489"/>
      <c r="CF14" s="489"/>
      <c r="CG14" s="489"/>
      <c r="CL14" s="495"/>
      <c r="CM14" s="496"/>
      <c r="CN14" s="496"/>
      <c r="CO14" s="496"/>
      <c r="CP14" s="496"/>
      <c r="CQ14" s="497"/>
      <c r="CR14" s="496"/>
      <c r="CS14" s="496"/>
      <c r="CT14" s="496"/>
      <c r="CU14" s="495"/>
      <c r="CV14" s="495"/>
      <c r="CW14" s="495"/>
      <c r="CX14" s="495"/>
      <c r="CY14" s="489"/>
      <c r="CZ14" s="489"/>
      <c r="DA14" s="489"/>
      <c r="DB14" s="489"/>
      <c r="DC14" s="489"/>
      <c r="DD14" s="489"/>
    </row>
    <row r="15" spans="1:108">
      <c r="A15" s="241">
        <v>33926.88920350944</v>
      </c>
      <c r="B15" s="375">
        <v>0</v>
      </c>
      <c r="C15" s="375">
        <v>0</v>
      </c>
      <c r="D15" s="375">
        <v>0</v>
      </c>
      <c r="E15" s="375">
        <v>0</v>
      </c>
      <c r="F15" s="496">
        <v>8717.8316313739051</v>
      </c>
      <c r="G15" s="496">
        <v>27355.279999999999</v>
      </c>
      <c r="H15" s="406">
        <v>0.99082508221441334</v>
      </c>
      <c r="I15" s="375"/>
      <c r="J15" s="375">
        <v>0</v>
      </c>
      <c r="K15" s="375">
        <v>0</v>
      </c>
      <c r="L15" s="241">
        <v>0</v>
      </c>
      <c r="M15" s="241">
        <v>8231.1451978966306</v>
      </c>
      <c r="N15" s="495">
        <v>290594.3877124635</v>
      </c>
      <c r="O15" s="241"/>
      <c r="P15" s="241">
        <v>298825.53291036014</v>
      </c>
      <c r="U15" s="377">
        <v>261164</v>
      </c>
      <c r="AA15" s="241">
        <v>298825.53291036014</v>
      </c>
      <c r="AB15" s="241">
        <v>8220.3176006550639</v>
      </c>
      <c r="AC15" s="377" t="s">
        <v>1260</v>
      </c>
      <c r="AJ15" s="495"/>
      <c r="AK15" s="496"/>
      <c r="AL15" s="496"/>
      <c r="AM15" s="496"/>
      <c r="AN15" s="496"/>
      <c r="AO15" s="497"/>
      <c r="AP15" s="496"/>
      <c r="AQ15" s="496"/>
      <c r="AR15" s="496"/>
      <c r="AS15" s="495"/>
      <c r="AT15" s="495"/>
      <c r="AU15" s="495"/>
      <c r="AV15" s="495"/>
      <c r="AW15" s="489"/>
      <c r="AX15" s="489"/>
      <c r="AY15" s="489"/>
      <c r="AZ15" s="489"/>
      <c r="BA15" s="489"/>
      <c r="BB15" s="489"/>
      <c r="BO15" s="495"/>
      <c r="BP15" s="496"/>
      <c r="BQ15" s="496"/>
      <c r="BR15" s="496"/>
      <c r="BS15" s="496"/>
      <c r="BT15" s="497"/>
      <c r="BU15" s="496"/>
      <c r="BV15" s="496"/>
      <c r="BW15" s="496"/>
      <c r="BX15" s="495"/>
      <c r="BY15" s="495"/>
      <c r="BZ15" s="495"/>
      <c r="CA15" s="495"/>
      <c r="CB15" s="489"/>
      <c r="CC15" s="489"/>
      <c r="CD15" s="489"/>
      <c r="CE15" s="489"/>
      <c r="CF15" s="489"/>
      <c r="CG15" s="489"/>
      <c r="CL15" s="495"/>
      <c r="CM15" s="496"/>
      <c r="CN15" s="496"/>
      <c r="CO15" s="496"/>
      <c r="CP15" s="496"/>
      <c r="CQ15" s="497"/>
      <c r="CR15" s="496"/>
      <c r="CS15" s="496"/>
      <c r="CT15" s="496"/>
      <c r="CU15" s="495"/>
      <c r="CV15" s="495"/>
      <c r="CW15" s="495"/>
      <c r="CX15" s="495"/>
      <c r="CY15" s="489"/>
      <c r="CZ15" s="489"/>
      <c r="DA15" s="489"/>
      <c r="DB15" s="489"/>
      <c r="DC15" s="489"/>
      <c r="DD15" s="489"/>
    </row>
    <row r="16" spans="1:108">
      <c r="A16" s="241">
        <v>34231.051711060463</v>
      </c>
      <c r="B16" s="375">
        <v>0</v>
      </c>
      <c r="C16" s="375">
        <v>0</v>
      </c>
      <c r="D16" s="375">
        <v>0</v>
      </c>
      <c r="E16" s="375">
        <v>0</v>
      </c>
      <c r="F16" s="496">
        <v>7704.5592501208821</v>
      </c>
      <c r="G16" s="496">
        <v>28064.39</v>
      </c>
      <c r="H16" s="406">
        <v>1</v>
      </c>
      <c r="I16" s="375"/>
      <c r="J16" s="375">
        <v>0</v>
      </c>
      <c r="K16" s="375">
        <v>0</v>
      </c>
      <c r="L16" s="241">
        <v>0</v>
      </c>
      <c r="M16" s="241">
        <v>7829.6259199504548</v>
      </c>
      <c r="N16" s="495">
        <v>256818.64167069609</v>
      </c>
      <c r="O16" s="241"/>
      <c r="P16" s="241">
        <v>264648.26759064652</v>
      </c>
      <c r="U16" s="377">
        <v>295395</v>
      </c>
      <c r="AA16" s="241">
        <v>264648.26759064652</v>
      </c>
      <c r="AB16" s="241">
        <v>7122.6058542976234</v>
      </c>
      <c r="AC16" s="377" t="s">
        <v>1263</v>
      </c>
      <c r="AJ16" s="495"/>
      <c r="AK16" s="496"/>
      <c r="AL16" s="496"/>
      <c r="AM16" s="496"/>
      <c r="AN16" s="496"/>
      <c r="AO16" s="497"/>
      <c r="AP16" s="496"/>
      <c r="AQ16" s="496"/>
      <c r="AR16" s="496"/>
      <c r="AS16" s="495"/>
      <c r="AT16" s="495"/>
      <c r="AU16" s="495"/>
      <c r="AV16" s="495"/>
      <c r="AW16" s="489"/>
      <c r="AX16" s="489"/>
      <c r="AY16" s="489"/>
      <c r="AZ16" s="489"/>
      <c r="BA16" s="489"/>
      <c r="BB16" s="489"/>
      <c r="BO16" s="495"/>
      <c r="BP16" s="496"/>
      <c r="BQ16" s="496"/>
      <c r="BR16" s="496"/>
      <c r="BS16" s="496"/>
      <c r="BT16" s="497"/>
      <c r="BU16" s="496"/>
      <c r="BV16" s="496"/>
      <c r="BW16" s="496"/>
      <c r="BX16" s="495"/>
      <c r="BY16" s="495"/>
      <c r="BZ16" s="495"/>
      <c r="CA16" s="495"/>
      <c r="CB16" s="489"/>
      <c r="CC16" s="489"/>
      <c r="CD16" s="489"/>
      <c r="CE16" s="489"/>
      <c r="CF16" s="489"/>
      <c r="CG16" s="489"/>
      <c r="CL16" s="495"/>
      <c r="CM16" s="496"/>
      <c r="CN16" s="496"/>
      <c r="CO16" s="496"/>
      <c r="CP16" s="496"/>
      <c r="CQ16" s="497"/>
      <c r="CR16" s="496"/>
      <c r="CS16" s="496"/>
      <c r="CT16" s="496"/>
      <c r="CU16" s="495"/>
      <c r="CV16" s="495"/>
      <c r="CW16" s="495"/>
      <c r="CX16" s="495"/>
      <c r="CY16" s="489"/>
      <c r="CZ16" s="489"/>
      <c r="DA16" s="489"/>
      <c r="DB16" s="489"/>
      <c r="DC16" s="489"/>
      <c r="DD16" s="489"/>
    </row>
    <row r="17" spans="1:108">
      <c r="A17" s="1188">
        <v>34221.299230302888</v>
      </c>
      <c r="B17" s="1188">
        <v>0</v>
      </c>
      <c r="C17" s="1188">
        <v>0</v>
      </c>
      <c r="D17" s="1188">
        <v>0</v>
      </c>
      <c r="E17" s="1188">
        <v>0</v>
      </c>
      <c r="F17" s="1188">
        <v>6695.2463903618363</v>
      </c>
      <c r="G17" s="1188">
        <v>29083.45</v>
      </c>
      <c r="H17" s="540">
        <v>1</v>
      </c>
      <c r="I17" s="1188"/>
      <c r="J17" s="1188">
        <v>0</v>
      </c>
      <c r="K17" s="1188">
        <v>0</v>
      </c>
      <c r="L17" s="1188">
        <v>0</v>
      </c>
      <c r="M17" s="1188">
        <v>7447.6929482455544</v>
      </c>
      <c r="N17" s="1188">
        <v>223174.87967872788</v>
      </c>
      <c r="O17" s="1188"/>
      <c r="P17" s="1188">
        <v>230622.57262697344</v>
      </c>
      <c r="U17" s="377">
        <v>329616</v>
      </c>
      <c r="AA17" s="241">
        <v>230622.57262697344</v>
      </c>
      <c r="AB17" s="241">
        <v>6029.1835895586564</v>
      </c>
      <c r="AC17" s="377" t="s">
        <v>1263</v>
      </c>
      <c r="AJ17" s="495"/>
      <c r="AK17" s="496"/>
      <c r="AL17" s="496"/>
      <c r="AM17" s="496"/>
      <c r="AN17" s="496"/>
      <c r="AO17" s="497"/>
      <c r="AP17" s="496"/>
      <c r="AQ17" s="496"/>
      <c r="AR17" s="496"/>
      <c r="AS17" s="495"/>
      <c r="AT17" s="495"/>
      <c r="AU17" s="495"/>
      <c r="AV17" s="495"/>
      <c r="AW17" s="489"/>
      <c r="AX17" s="489"/>
      <c r="AY17" s="489"/>
      <c r="AZ17" s="489"/>
      <c r="BA17" s="489"/>
      <c r="BB17" s="489"/>
      <c r="BO17" s="495"/>
      <c r="BP17" s="496"/>
      <c r="BQ17" s="496"/>
      <c r="BR17" s="496"/>
      <c r="BS17" s="496"/>
      <c r="BT17" s="497"/>
      <c r="BU17" s="496"/>
      <c r="BV17" s="496"/>
      <c r="BW17" s="496"/>
      <c r="BX17" s="495"/>
      <c r="BY17" s="495"/>
      <c r="BZ17" s="495"/>
      <c r="CA17" s="495"/>
      <c r="CB17" s="489"/>
      <c r="CC17" s="489"/>
      <c r="CD17" s="489"/>
      <c r="CE17" s="489"/>
      <c r="CF17" s="489"/>
      <c r="CG17" s="489"/>
      <c r="CL17" s="495"/>
      <c r="CM17" s="496"/>
      <c r="CN17" s="496"/>
      <c r="CO17" s="496"/>
      <c r="CP17" s="496"/>
      <c r="CQ17" s="497"/>
      <c r="CR17" s="496"/>
      <c r="CS17" s="496"/>
      <c r="CT17" s="496"/>
      <c r="CU17" s="495"/>
      <c r="CV17" s="495"/>
      <c r="CW17" s="495"/>
      <c r="CX17" s="495"/>
      <c r="CY17" s="489"/>
      <c r="CZ17" s="489"/>
      <c r="DA17" s="489"/>
      <c r="DB17" s="489"/>
      <c r="DC17" s="489"/>
      <c r="DD17" s="489"/>
    </row>
    <row r="18" spans="1:108">
      <c r="A18" s="241">
        <v>34211.784614929646</v>
      </c>
      <c r="B18" s="241">
        <v>0</v>
      </c>
      <c r="C18" s="241">
        <v>0</v>
      </c>
      <c r="D18" s="241">
        <v>0</v>
      </c>
      <c r="E18" s="241">
        <v>0</v>
      </c>
      <c r="F18" s="495">
        <v>5680.7247710847187</v>
      </c>
      <c r="G18" s="495">
        <v>30107.49</v>
      </c>
      <c r="H18" s="53">
        <v>1</v>
      </c>
      <c r="I18" s="241"/>
      <c r="J18" s="241">
        <v>0</v>
      </c>
      <c r="K18" s="241">
        <v>0</v>
      </c>
      <c r="L18" s="241">
        <v>0</v>
      </c>
      <c r="M18" s="241">
        <v>7084.3908532091864</v>
      </c>
      <c r="N18" s="495">
        <v>189357.49236949062</v>
      </c>
      <c r="O18" s="241"/>
      <c r="P18" s="241">
        <v>196441.88322269981</v>
      </c>
      <c r="U18" s="377">
        <v>363828</v>
      </c>
      <c r="AA18" s="241">
        <v>196441.88322269981</v>
      </c>
      <c r="AB18" s="241">
        <v>4930.1185020084458</v>
      </c>
      <c r="AC18" s="377" t="s">
        <v>1263</v>
      </c>
      <c r="AJ18" s="495"/>
      <c r="AK18" s="495"/>
      <c r="AL18" s="495"/>
      <c r="AM18" s="495"/>
      <c r="AN18" s="495"/>
      <c r="AO18" s="491"/>
      <c r="AP18" s="495"/>
      <c r="AQ18" s="495"/>
      <c r="AR18" s="495"/>
      <c r="AS18" s="495"/>
      <c r="AT18" s="495"/>
      <c r="AU18" s="495"/>
      <c r="AV18" s="495"/>
      <c r="AW18" s="489"/>
      <c r="AX18" s="489"/>
      <c r="AY18" s="489"/>
      <c r="AZ18" s="489"/>
      <c r="BA18" s="489"/>
      <c r="BB18" s="489"/>
      <c r="BO18" s="495"/>
      <c r="BP18" s="495"/>
      <c r="BQ18" s="495"/>
      <c r="BR18" s="495"/>
      <c r="BS18" s="495"/>
      <c r="BT18" s="491"/>
      <c r="BU18" s="495"/>
      <c r="BV18" s="495"/>
      <c r="BW18" s="495"/>
      <c r="BX18" s="495"/>
      <c r="BY18" s="495"/>
      <c r="BZ18" s="495"/>
      <c r="CA18" s="495"/>
      <c r="CB18" s="489"/>
      <c r="CC18" s="489"/>
      <c r="CD18" s="489"/>
      <c r="CE18" s="489"/>
      <c r="CF18" s="489"/>
      <c r="CG18" s="489"/>
      <c r="CL18" s="495"/>
      <c r="CM18" s="495"/>
      <c r="CN18" s="495"/>
      <c r="CO18" s="495"/>
      <c r="CP18" s="495"/>
      <c r="CQ18" s="491"/>
      <c r="CR18" s="495"/>
      <c r="CS18" s="495"/>
      <c r="CT18" s="495"/>
      <c r="CU18" s="495"/>
      <c r="CV18" s="495"/>
      <c r="CW18" s="495"/>
      <c r="CX18" s="495"/>
      <c r="CY18" s="489"/>
      <c r="CZ18" s="489"/>
      <c r="DA18" s="489"/>
      <c r="DB18" s="489"/>
      <c r="DC18" s="489"/>
      <c r="DD18" s="489"/>
    </row>
    <row r="19" spans="1:108">
      <c r="A19" s="241">
        <v>34202.502063346001</v>
      </c>
      <c r="B19" s="241">
        <v>0</v>
      </c>
      <c r="C19" s="241">
        <v>0</v>
      </c>
      <c r="D19" s="241">
        <v>0</v>
      </c>
      <c r="E19" s="241">
        <v>0</v>
      </c>
      <c r="F19" s="495">
        <v>4660.9756791070431</v>
      </c>
      <c r="G19" s="495">
        <v>31136.52</v>
      </c>
      <c r="H19" s="53">
        <v>1</v>
      </c>
      <c r="I19" s="241"/>
      <c r="J19" s="241">
        <v>0</v>
      </c>
      <c r="K19" s="241">
        <v>0</v>
      </c>
      <c r="L19" s="241">
        <v>0</v>
      </c>
      <c r="M19" s="241">
        <v>6738.8108115892255</v>
      </c>
      <c r="N19" s="495">
        <v>155365.85597023478</v>
      </c>
      <c r="O19" s="241"/>
      <c r="P19" s="241">
        <v>162104.66678182402</v>
      </c>
      <c r="U19" s="377">
        <v>398031</v>
      </c>
      <c r="AA19" s="241">
        <v>162104.66678182402</v>
      </c>
      <c r="AB19" s="241">
        <v>3825.3903190326309</v>
      </c>
      <c r="AC19" s="377" t="s">
        <v>1263</v>
      </c>
      <c r="AJ19" s="495"/>
      <c r="AK19" s="495"/>
      <c r="AL19" s="495"/>
      <c r="AM19" s="495"/>
      <c r="AN19" s="495"/>
      <c r="AO19" s="491"/>
      <c r="AP19" s="495"/>
      <c r="AQ19" s="495"/>
      <c r="AR19" s="495"/>
      <c r="AS19" s="495"/>
      <c r="AT19" s="495"/>
      <c r="AU19" s="495"/>
      <c r="AV19" s="495"/>
      <c r="AW19" s="489"/>
      <c r="AX19" s="489"/>
      <c r="AY19" s="489"/>
      <c r="AZ19" s="489"/>
      <c r="BA19" s="489"/>
      <c r="BB19" s="489"/>
      <c r="BO19" s="495"/>
      <c r="BP19" s="495"/>
      <c r="BQ19" s="495"/>
      <c r="BR19" s="495"/>
      <c r="BS19" s="495"/>
      <c r="BT19" s="491"/>
      <c r="BU19" s="495"/>
      <c r="BV19" s="495"/>
      <c r="BW19" s="495"/>
      <c r="BX19" s="495"/>
      <c r="BY19" s="495"/>
      <c r="BZ19" s="495"/>
      <c r="CA19" s="495"/>
      <c r="CB19" s="489"/>
      <c r="CC19" s="489"/>
      <c r="CD19" s="489"/>
      <c r="CE19" s="489"/>
      <c r="CF19" s="489"/>
      <c r="CG19" s="489"/>
      <c r="CL19" s="495"/>
      <c r="CM19" s="495"/>
      <c r="CN19" s="495"/>
      <c r="CO19" s="495"/>
      <c r="CP19" s="495"/>
      <c r="CQ19" s="491"/>
      <c r="CR19" s="495"/>
      <c r="CS19" s="495"/>
      <c r="CT19" s="495"/>
      <c r="CU19" s="495"/>
      <c r="CV19" s="495"/>
      <c r="CW19" s="495"/>
      <c r="CX19" s="495"/>
      <c r="CY19" s="489"/>
      <c r="CZ19" s="489"/>
      <c r="DA19" s="489"/>
      <c r="DB19" s="489"/>
      <c r="DC19" s="489"/>
      <c r="DD19" s="489"/>
    </row>
    <row r="20" spans="1:108">
      <c r="A20" s="241">
        <v>34193.44591545951</v>
      </c>
      <c r="B20" s="241">
        <v>0</v>
      </c>
      <c r="C20" s="241">
        <v>0</v>
      </c>
      <c r="D20" s="241">
        <v>0</v>
      </c>
      <c r="E20" s="241">
        <v>0</v>
      </c>
      <c r="F20" s="495">
        <v>3635.9805649824816</v>
      </c>
      <c r="G20" s="495">
        <v>32170.57</v>
      </c>
      <c r="H20" s="53">
        <v>1</v>
      </c>
      <c r="I20" s="241"/>
      <c r="J20" s="241">
        <v>0</v>
      </c>
      <c r="K20" s="241">
        <v>0</v>
      </c>
      <c r="L20" s="241">
        <v>0</v>
      </c>
      <c r="M20" s="241">
        <v>6410.0883329751168</v>
      </c>
      <c r="N20" s="495">
        <v>121199.35216608272</v>
      </c>
      <c r="O20" s="241"/>
      <c r="P20" s="241">
        <v>127609.44049905785</v>
      </c>
      <c r="U20" s="377">
        <v>432224</v>
      </c>
      <c r="AA20" s="241">
        <v>127609.44049905785</v>
      </c>
      <c r="AB20" s="241">
        <v>2714.9789453976887</v>
      </c>
      <c r="AC20" s="377" t="s">
        <v>1263</v>
      </c>
      <c r="AJ20" s="495"/>
      <c r="AK20" s="495"/>
      <c r="AL20" s="495"/>
      <c r="AM20" s="495"/>
      <c r="AN20" s="495"/>
      <c r="AO20" s="491"/>
      <c r="AP20" s="495"/>
      <c r="AQ20" s="495"/>
      <c r="AR20" s="495"/>
      <c r="AS20" s="495"/>
      <c r="AT20" s="495"/>
      <c r="AU20" s="495"/>
      <c r="AV20" s="495"/>
      <c r="AW20" s="489"/>
      <c r="AX20" s="489"/>
      <c r="AY20" s="489"/>
      <c r="AZ20" s="489"/>
      <c r="BA20" s="489"/>
      <c r="BB20" s="489"/>
      <c r="BO20" s="495"/>
      <c r="BP20" s="495"/>
      <c r="BQ20" s="495"/>
      <c r="BR20" s="495"/>
      <c r="BS20" s="495"/>
      <c r="BT20" s="491"/>
      <c r="BU20" s="495"/>
      <c r="BV20" s="495"/>
      <c r="BW20" s="495"/>
      <c r="BX20" s="495"/>
      <c r="BY20" s="495"/>
      <c r="BZ20" s="495"/>
      <c r="CA20" s="495"/>
      <c r="CB20" s="489"/>
      <c r="CC20" s="489"/>
      <c r="CD20" s="489"/>
      <c r="CE20" s="489"/>
      <c r="CF20" s="489"/>
      <c r="CG20" s="489"/>
      <c r="CL20" s="495"/>
      <c r="CM20" s="495"/>
      <c r="CN20" s="495"/>
      <c r="CO20" s="495"/>
      <c r="CP20" s="495"/>
      <c r="CQ20" s="491"/>
      <c r="CR20" s="495"/>
      <c r="CS20" s="495"/>
      <c r="CT20" s="495"/>
      <c r="CU20" s="495"/>
      <c r="CV20" s="495"/>
      <c r="CW20" s="495"/>
      <c r="CX20" s="495"/>
      <c r="CY20" s="489"/>
      <c r="CZ20" s="489"/>
      <c r="DA20" s="489"/>
      <c r="DB20" s="489"/>
      <c r="DC20" s="489"/>
      <c r="DD20" s="489"/>
    </row>
    <row r="21" spans="1:108">
      <c r="A21" s="241">
        <v>34184.610649228795</v>
      </c>
      <c r="B21" s="241">
        <v>0</v>
      </c>
      <c r="C21" s="241">
        <v>0</v>
      </c>
      <c r="D21" s="241">
        <v>0</v>
      </c>
      <c r="E21" s="241">
        <v>0</v>
      </c>
      <c r="F21" s="495">
        <v>2605.7204536414461</v>
      </c>
      <c r="G21" s="495">
        <v>33209.67</v>
      </c>
      <c r="H21" s="53">
        <v>1</v>
      </c>
      <c r="I21" s="241"/>
      <c r="J21" s="241">
        <v>0</v>
      </c>
      <c r="K21" s="241">
        <v>0</v>
      </c>
      <c r="L21" s="241">
        <v>0</v>
      </c>
      <c r="M21" s="241">
        <v>6097.4010972202332</v>
      </c>
      <c r="N21" s="495">
        <v>86857.348454714869</v>
      </c>
      <c r="O21" s="241"/>
      <c r="P21" s="241">
        <v>92954.749551935107</v>
      </c>
      <c r="U21" s="377">
        <v>466409</v>
      </c>
      <c r="AA21" s="241">
        <v>92954.749551935107</v>
      </c>
      <c r="AB21" s="241">
        <v>1598.8638247782335</v>
      </c>
      <c r="AC21" s="377" t="s">
        <v>1263</v>
      </c>
      <c r="AJ21" s="495"/>
      <c r="AK21" s="495"/>
      <c r="AL21" s="495"/>
      <c r="AM21" s="495"/>
      <c r="AN21" s="495"/>
      <c r="AO21" s="491"/>
      <c r="AP21" s="495"/>
      <c r="AQ21" s="495"/>
      <c r="AR21" s="495"/>
      <c r="AS21" s="495"/>
      <c r="AT21" s="495"/>
      <c r="AU21" s="495"/>
      <c r="AV21" s="495"/>
      <c r="AW21" s="489"/>
      <c r="AX21" s="489"/>
      <c r="AY21" s="489"/>
      <c r="AZ21" s="489"/>
      <c r="BA21" s="489"/>
      <c r="BB21" s="489"/>
      <c r="BO21" s="495"/>
      <c r="BP21" s="495"/>
      <c r="BQ21" s="495"/>
      <c r="BR21" s="495"/>
      <c r="BS21" s="495"/>
      <c r="BT21" s="491"/>
      <c r="BU21" s="495"/>
      <c r="BV21" s="495"/>
      <c r="BW21" s="495"/>
      <c r="BX21" s="495"/>
      <c r="BY21" s="495"/>
      <c r="BZ21" s="495"/>
      <c r="CA21" s="495"/>
      <c r="CB21" s="489"/>
      <c r="CC21" s="489"/>
      <c r="CD21" s="489"/>
      <c r="CE21" s="489"/>
      <c r="CF21" s="489"/>
      <c r="CG21" s="489"/>
      <c r="CL21" s="495"/>
      <c r="CM21" s="495"/>
      <c r="CN21" s="495"/>
      <c r="CO21" s="495"/>
      <c r="CP21" s="495"/>
      <c r="CQ21" s="491"/>
      <c r="CR21" s="495"/>
      <c r="CS21" s="495"/>
      <c r="CT21" s="495"/>
      <c r="CU21" s="495"/>
      <c r="CV21" s="495"/>
      <c r="CW21" s="495"/>
      <c r="CX21" s="495"/>
      <c r="CY21" s="489"/>
      <c r="CZ21" s="489"/>
      <c r="DA21" s="489"/>
      <c r="DB21" s="489"/>
      <c r="DC21" s="489"/>
      <c r="DD21" s="489"/>
    </row>
    <row r="22" spans="1:108">
      <c r="A22" s="241">
        <v>34175.990877296383</v>
      </c>
      <c r="B22" s="241">
        <v>0</v>
      </c>
      <c r="C22" s="241">
        <v>0</v>
      </c>
      <c r="D22" s="241">
        <v>0</v>
      </c>
      <c r="E22" s="241">
        <v>0</v>
      </c>
      <c r="F22" s="495">
        <v>1570.1759547721426</v>
      </c>
      <c r="G22" s="495">
        <v>34253.83</v>
      </c>
      <c r="H22" s="53">
        <v>1</v>
      </c>
      <c r="I22" s="241"/>
      <c r="J22" s="241">
        <v>0</v>
      </c>
      <c r="K22" s="241">
        <v>0</v>
      </c>
      <c r="L22" s="241">
        <v>0</v>
      </c>
      <c r="M22" s="241">
        <v>5799.966897355831</v>
      </c>
      <c r="N22" s="495">
        <v>52339.198492404757</v>
      </c>
      <c r="O22" s="241"/>
      <c r="P22" s="241">
        <v>58139.165389760587</v>
      </c>
      <c r="U22" s="377">
        <v>500585</v>
      </c>
      <c r="AA22" s="241">
        <v>58139.165389760587</v>
      </c>
      <c r="AB22" s="241">
        <v>915.93597361708339</v>
      </c>
      <c r="AC22" s="377" t="s">
        <v>1263</v>
      </c>
      <c r="AJ22" s="495"/>
      <c r="AK22" s="495"/>
      <c r="AL22" s="495"/>
      <c r="AM22" s="495"/>
      <c r="AN22" s="495"/>
      <c r="AO22" s="491"/>
      <c r="AP22" s="495"/>
      <c r="AQ22" s="495"/>
      <c r="AR22" s="495"/>
      <c r="AS22" s="495"/>
      <c r="AT22" s="495"/>
      <c r="AU22" s="495"/>
      <c r="AV22" s="495"/>
      <c r="AW22" s="489"/>
      <c r="AX22" s="489"/>
      <c r="AY22" s="489"/>
      <c r="AZ22" s="489"/>
      <c r="BA22" s="489"/>
      <c r="BB22" s="489"/>
      <c r="BO22" s="495"/>
      <c r="BP22" s="495"/>
      <c r="BQ22" s="495"/>
      <c r="BR22" s="495"/>
      <c r="BS22" s="495"/>
      <c r="BT22" s="491"/>
      <c r="BU22" s="495"/>
      <c r="BV22" s="495"/>
      <c r="BW22" s="495"/>
      <c r="BX22" s="495"/>
      <c r="BY22" s="495"/>
      <c r="BZ22" s="495"/>
      <c r="CA22" s="495"/>
      <c r="CB22" s="489"/>
      <c r="CC22" s="489"/>
      <c r="CD22" s="489"/>
      <c r="CE22" s="489"/>
      <c r="CF22" s="489"/>
      <c r="CG22" s="489"/>
      <c r="CL22" s="495"/>
      <c r="CM22" s="495"/>
      <c r="CN22" s="495"/>
      <c r="CO22" s="495"/>
      <c r="CP22" s="495"/>
      <c r="CQ22" s="491"/>
      <c r="CR22" s="495"/>
      <c r="CS22" s="495"/>
      <c r="CT22" s="495"/>
      <c r="CU22" s="495"/>
      <c r="CV22" s="495"/>
      <c r="CW22" s="495"/>
      <c r="CX22" s="495"/>
      <c r="CY22" s="489"/>
      <c r="CZ22" s="489"/>
      <c r="DA22" s="489"/>
      <c r="DB22" s="489"/>
      <c r="DC22" s="489"/>
      <c r="DD22" s="489"/>
    </row>
    <row r="23" spans="1:108">
      <c r="A23" s="241">
        <v>34167.581343703787</v>
      </c>
      <c r="B23" s="241">
        <v>0</v>
      </c>
      <c r="C23" s="241">
        <v>0</v>
      </c>
      <c r="D23" s="241">
        <v>0</v>
      </c>
      <c r="E23" s="241">
        <v>0</v>
      </c>
      <c r="F23" s="495">
        <v>529.32785831428555</v>
      </c>
      <c r="G23" s="495">
        <v>17644.261943809521</v>
      </c>
      <c r="H23" s="53">
        <v>1</v>
      </c>
      <c r="I23" s="241"/>
      <c r="J23" s="241">
        <v>0</v>
      </c>
      <c r="K23" s="241">
        <v>0</v>
      </c>
      <c r="L23" s="241">
        <v>0</v>
      </c>
      <c r="M23" s="241">
        <v>5517.0416828506686</v>
      </c>
      <c r="N23" s="495">
        <v>17644.261943809521</v>
      </c>
      <c r="O23" s="241"/>
      <c r="P23" s="241">
        <v>23161.303626660188</v>
      </c>
      <c r="U23" s="377">
        <v>534753</v>
      </c>
      <c r="AA23" s="241">
        <v>23161.303626660188</v>
      </c>
      <c r="AB23" s="241">
        <v>308.77458401666667</v>
      </c>
      <c r="AC23" s="377" t="s">
        <v>1263</v>
      </c>
      <c r="AJ23" s="495"/>
      <c r="AK23" s="495"/>
      <c r="AL23" s="495"/>
      <c r="AM23" s="495"/>
      <c r="AN23" s="495"/>
      <c r="AO23" s="491"/>
      <c r="AP23" s="495"/>
      <c r="AQ23" s="495"/>
      <c r="AR23" s="495"/>
      <c r="AS23" s="495"/>
      <c r="AT23" s="495"/>
      <c r="AU23" s="495"/>
      <c r="AV23" s="495"/>
      <c r="AW23" s="489"/>
      <c r="AX23" s="489"/>
      <c r="AY23" s="489"/>
      <c r="AZ23" s="489"/>
      <c r="BA23" s="489"/>
      <c r="BB23" s="489"/>
      <c r="BO23" s="495"/>
      <c r="BP23" s="495"/>
      <c r="BQ23" s="495"/>
      <c r="BR23" s="495"/>
      <c r="BS23" s="495"/>
      <c r="BT23" s="491"/>
      <c r="BU23" s="495"/>
      <c r="BV23" s="495"/>
      <c r="BW23" s="495"/>
      <c r="BX23" s="495"/>
      <c r="BY23" s="495"/>
      <c r="BZ23" s="495"/>
      <c r="CA23" s="495"/>
      <c r="CB23" s="489"/>
      <c r="CC23" s="489"/>
      <c r="CD23" s="489"/>
      <c r="CE23" s="489"/>
      <c r="CF23" s="489"/>
      <c r="CG23" s="489"/>
      <c r="CL23" s="495"/>
      <c r="CM23" s="495"/>
      <c r="CN23" s="495"/>
      <c r="CO23" s="495"/>
      <c r="CP23" s="495"/>
      <c r="CQ23" s="491"/>
      <c r="CR23" s="495"/>
      <c r="CS23" s="495"/>
      <c r="CT23" s="495"/>
      <c r="CU23" s="495"/>
      <c r="CV23" s="495"/>
      <c r="CW23" s="495"/>
      <c r="CX23" s="495"/>
      <c r="CY23" s="489"/>
      <c r="CZ23" s="489"/>
      <c r="DA23" s="489"/>
      <c r="DB23" s="489"/>
      <c r="DC23" s="489"/>
      <c r="DD23" s="489"/>
    </row>
    <row r="24" spans="1:108">
      <c r="A24" s="241">
        <v>34159.37692068662</v>
      </c>
      <c r="B24" s="241">
        <v>0</v>
      </c>
      <c r="C24" s="241">
        <v>0</v>
      </c>
      <c r="D24" s="241">
        <v>0</v>
      </c>
      <c r="E24" s="241">
        <v>0</v>
      </c>
      <c r="F24" s="495">
        <v>0</v>
      </c>
      <c r="G24" s="495">
        <v>0</v>
      </c>
      <c r="H24" s="53">
        <v>1</v>
      </c>
      <c r="I24" s="241"/>
      <c r="J24" s="241">
        <v>0</v>
      </c>
      <c r="K24" s="241">
        <v>0</v>
      </c>
      <c r="L24" s="241">
        <v>0</v>
      </c>
      <c r="M24" s="241">
        <v>5247.9176983213683</v>
      </c>
      <c r="N24" s="495">
        <v>0</v>
      </c>
      <c r="O24" s="241"/>
      <c r="P24" s="241">
        <v>5247.9176983213683</v>
      </c>
      <c r="U24" s="377">
        <v>568912</v>
      </c>
      <c r="AA24" s="241">
        <v>5247.9176983213683</v>
      </c>
      <c r="AB24" s="241">
        <v>0</v>
      </c>
      <c r="AC24" s="377" t="s">
        <v>1263</v>
      </c>
      <c r="AJ24" s="495"/>
      <c r="AK24" s="495"/>
      <c r="AL24" s="495"/>
      <c r="AM24" s="495"/>
      <c r="AN24" s="495"/>
      <c r="AO24" s="491"/>
      <c r="AP24" s="495"/>
      <c r="AQ24" s="495"/>
      <c r="AR24" s="495"/>
      <c r="AS24" s="495"/>
      <c r="AT24" s="495"/>
      <c r="AU24" s="495"/>
      <c r="AV24" s="495"/>
      <c r="AW24" s="489"/>
      <c r="AX24" s="489"/>
      <c r="AY24" s="489"/>
      <c r="AZ24" s="489"/>
      <c r="BA24" s="489"/>
      <c r="BB24" s="489"/>
      <c r="BO24" s="495"/>
      <c r="BP24" s="495"/>
      <c r="BQ24" s="495"/>
      <c r="BR24" s="495"/>
      <c r="BS24" s="495"/>
      <c r="BT24" s="491"/>
      <c r="BU24" s="495"/>
      <c r="BV24" s="495"/>
      <c r="BW24" s="495"/>
      <c r="BX24" s="495"/>
      <c r="BY24" s="495"/>
      <c r="BZ24" s="495"/>
      <c r="CA24" s="495"/>
      <c r="CB24" s="489"/>
      <c r="CC24" s="489"/>
      <c r="CD24" s="489"/>
      <c r="CE24" s="489"/>
      <c r="CF24" s="489"/>
      <c r="CG24" s="489"/>
      <c r="CL24" s="495"/>
      <c r="CM24" s="495"/>
      <c r="CN24" s="495"/>
      <c r="CO24" s="495"/>
      <c r="CP24" s="495"/>
      <c r="CQ24" s="491"/>
      <c r="CR24" s="495"/>
      <c r="CS24" s="495"/>
      <c r="CT24" s="495"/>
      <c r="CU24" s="495"/>
      <c r="CV24" s="495"/>
      <c r="CW24" s="495"/>
      <c r="CX24" s="495"/>
      <c r="CY24" s="489"/>
      <c r="CZ24" s="489"/>
      <c r="DA24" s="489"/>
      <c r="DB24" s="489"/>
      <c r="DC24" s="489"/>
      <c r="DD24" s="489"/>
    </row>
    <row r="25" spans="1:108">
      <c r="A25" s="241">
        <v>34151.37260554792</v>
      </c>
      <c r="B25" s="241">
        <v>0</v>
      </c>
      <c r="C25" s="241">
        <v>0</v>
      </c>
      <c r="D25" s="241">
        <v>0</v>
      </c>
      <c r="E25" s="241">
        <v>0</v>
      </c>
      <c r="F25" s="495">
        <v>0</v>
      </c>
      <c r="G25" s="495">
        <v>0</v>
      </c>
      <c r="H25" s="53">
        <v>1</v>
      </c>
      <c r="I25" s="241"/>
      <c r="J25" s="241">
        <v>0</v>
      </c>
      <c r="K25" s="241">
        <v>0</v>
      </c>
      <c r="L25" s="241">
        <v>0</v>
      </c>
      <c r="M25" s="241">
        <v>4991.9217130373991</v>
      </c>
      <c r="N25" s="495">
        <v>0</v>
      </c>
      <c r="O25" s="241"/>
      <c r="P25" s="241">
        <v>4991.9217130373991</v>
      </c>
      <c r="U25" s="377">
        <v>603063</v>
      </c>
      <c r="AA25" s="241">
        <v>4991.9217130373991</v>
      </c>
      <c r="AB25" s="241">
        <v>0</v>
      </c>
      <c r="AC25" s="377" t="s">
        <v>1263</v>
      </c>
      <c r="AJ25" s="495"/>
      <c r="AK25" s="495"/>
      <c r="AL25" s="495"/>
      <c r="AM25" s="495"/>
      <c r="AN25" s="495"/>
      <c r="AO25" s="491"/>
      <c r="AP25" s="495"/>
      <c r="AQ25" s="495"/>
      <c r="AR25" s="495"/>
      <c r="AS25" s="495"/>
      <c r="AT25" s="495"/>
      <c r="AU25" s="495"/>
      <c r="AV25" s="495"/>
      <c r="AW25" s="489"/>
      <c r="AX25" s="489"/>
      <c r="AY25" s="489"/>
      <c r="AZ25" s="489"/>
      <c r="BA25" s="489"/>
      <c r="BB25" s="489"/>
      <c r="BO25" s="495"/>
      <c r="BP25" s="495"/>
      <c r="BQ25" s="495"/>
      <c r="BR25" s="495"/>
      <c r="BS25" s="495"/>
      <c r="BT25" s="491"/>
      <c r="BU25" s="495"/>
      <c r="BV25" s="495"/>
      <c r="BW25" s="495"/>
      <c r="BX25" s="495"/>
      <c r="BY25" s="495"/>
      <c r="BZ25" s="495"/>
      <c r="CA25" s="495"/>
      <c r="CB25" s="489"/>
      <c r="CC25" s="489"/>
      <c r="CD25" s="489"/>
      <c r="CE25" s="489"/>
      <c r="CF25" s="489"/>
      <c r="CG25" s="489"/>
      <c r="CL25" s="495"/>
      <c r="CM25" s="495"/>
      <c r="CN25" s="495"/>
      <c r="CO25" s="495"/>
      <c r="CP25" s="495"/>
      <c r="CQ25" s="491"/>
      <c r="CR25" s="495"/>
      <c r="CS25" s="495"/>
      <c r="CT25" s="495"/>
      <c r="CU25" s="495"/>
      <c r="CV25" s="495"/>
      <c r="CW25" s="495"/>
      <c r="CX25" s="495"/>
      <c r="CY25" s="489"/>
      <c r="CZ25" s="489"/>
      <c r="DA25" s="489"/>
      <c r="DB25" s="489"/>
      <c r="DC25" s="489"/>
      <c r="DD25" s="489"/>
    </row>
    <row r="26" spans="1:108">
      <c r="A26" s="241">
        <v>34143.563517607727</v>
      </c>
      <c r="B26" s="241">
        <v>0</v>
      </c>
      <c r="C26" s="241">
        <v>0</v>
      </c>
      <c r="D26" s="241">
        <v>0</v>
      </c>
      <c r="E26" s="241">
        <v>0</v>
      </c>
      <c r="F26" s="495">
        <v>0</v>
      </c>
      <c r="G26" s="495">
        <v>0</v>
      </c>
      <c r="H26" s="53">
        <v>1</v>
      </c>
      <c r="I26" s="241"/>
      <c r="J26" s="241">
        <v>0</v>
      </c>
      <c r="K26" s="241">
        <v>0</v>
      </c>
      <c r="L26" s="241">
        <v>0</v>
      </c>
      <c r="M26" s="241">
        <v>4748.4133367916729</v>
      </c>
      <c r="N26" s="495">
        <v>0</v>
      </c>
      <c r="O26" s="241"/>
      <c r="P26" s="241">
        <v>4748.4133367916729</v>
      </c>
      <c r="U26" s="377">
        <v>637207</v>
      </c>
      <c r="AA26" s="241">
        <v>4748.4133367916729</v>
      </c>
      <c r="AB26" s="241">
        <v>0</v>
      </c>
      <c r="AC26" s="377" t="s">
        <v>1263</v>
      </c>
      <c r="AJ26" s="495"/>
      <c r="AK26" s="495"/>
      <c r="AL26" s="495"/>
      <c r="AM26" s="495"/>
      <c r="AN26" s="495"/>
      <c r="AO26" s="491"/>
      <c r="AP26" s="495"/>
      <c r="AQ26" s="495"/>
      <c r="AR26" s="495"/>
      <c r="AS26" s="495"/>
      <c r="AT26" s="495"/>
      <c r="AU26" s="495"/>
      <c r="AV26" s="495"/>
      <c r="AW26" s="489"/>
      <c r="AX26" s="489"/>
      <c r="AY26" s="489"/>
      <c r="AZ26" s="489"/>
      <c r="BA26" s="489"/>
      <c r="BB26" s="489"/>
      <c r="BO26" s="495"/>
      <c r="BP26" s="495"/>
      <c r="BQ26" s="495"/>
      <c r="BR26" s="495"/>
      <c r="BS26" s="495"/>
      <c r="BT26" s="491"/>
      <c r="BU26" s="495"/>
      <c r="BV26" s="495"/>
      <c r="BW26" s="495"/>
      <c r="BX26" s="495"/>
      <c r="BY26" s="495"/>
      <c r="BZ26" s="495"/>
      <c r="CA26" s="495"/>
      <c r="CB26" s="489"/>
      <c r="CC26" s="489"/>
      <c r="CD26" s="489"/>
      <c r="CE26" s="489"/>
      <c r="CF26" s="489"/>
      <c r="CG26" s="489"/>
      <c r="CL26" s="495"/>
      <c r="CM26" s="495"/>
      <c r="CN26" s="495"/>
      <c r="CO26" s="495"/>
      <c r="CP26" s="495"/>
      <c r="CQ26" s="491"/>
      <c r="CR26" s="495"/>
      <c r="CS26" s="495"/>
      <c r="CT26" s="495"/>
      <c r="CU26" s="495"/>
      <c r="CV26" s="495"/>
      <c r="CW26" s="495"/>
      <c r="CX26" s="495"/>
      <c r="CY26" s="489"/>
      <c r="CZ26" s="489"/>
      <c r="DA26" s="489"/>
      <c r="DB26" s="489"/>
      <c r="DC26" s="489"/>
      <c r="DD26" s="489"/>
    </row>
    <row r="27" spans="1:108">
      <c r="A27" s="241">
        <v>34135.944895227054</v>
      </c>
      <c r="B27" s="241">
        <v>0</v>
      </c>
      <c r="C27" s="241">
        <v>0</v>
      </c>
      <c r="D27" s="241">
        <v>0</v>
      </c>
      <c r="E27" s="241">
        <v>0</v>
      </c>
      <c r="F27" s="495">
        <v>0</v>
      </c>
      <c r="G27" s="495">
        <v>0</v>
      </c>
      <c r="H27" s="53">
        <v>1</v>
      </c>
      <c r="I27" s="241"/>
      <c r="J27" s="241">
        <v>0</v>
      </c>
      <c r="K27" s="241">
        <v>0</v>
      </c>
      <c r="L27" s="241">
        <v>0</v>
      </c>
      <c r="M27" s="241">
        <v>4516.7834179237861</v>
      </c>
      <c r="N27" s="495">
        <v>0</v>
      </c>
      <c r="O27" s="241"/>
      <c r="P27" s="241">
        <v>4516.7834179237861</v>
      </c>
      <c r="U27" s="377">
        <v>671343</v>
      </c>
      <c r="AA27" s="241">
        <v>4516.7834179237861</v>
      </c>
      <c r="AB27" s="241">
        <v>0</v>
      </c>
      <c r="AC27" s="377" t="s">
        <v>1263</v>
      </c>
      <c r="AJ27" s="495"/>
      <c r="AK27" s="495"/>
      <c r="AL27" s="495"/>
      <c r="AM27" s="495"/>
      <c r="AN27" s="495"/>
      <c r="AO27" s="491"/>
      <c r="AP27" s="495"/>
      <c r="AQ27" s="495"/>
      <c r="AR27" s="495"/>
      <c r="AS27" s="495"/>
      <c r="AT27" s="495"/>
      <c r="AU27" s="495"/>
      <c r="AV27" s="495"/>
      <c r="AW27" s="489"/>
      <c r="AX27" s="489"/>
      <c r="AY27" s="489"/>
      <c r="AZ27" s="489"/>
      <c r="BA27" s="489"/>
      <c r="BB27" s="489"/>
      <c r="BO27" s="495"/>
      <c r="BP27" s="495"/>
      <c r="BQ27" s="495"/>
      <c r="BR27" s="495"/>
      <c r="BS27" s="495"/>
      <c r="BT27" s="491"/>
      <c r="BU27" s="495"/>
      <c r="BV27" s="495"/>
      <c r="BW27" s="495"/>
      <c r="BX27" s="495"/>
      <c r="BY27" s="495"/>
      <c r="BZ27" s="495"/>
      <c r="CA27" s="495"/>
      <c r="CB27" s="489"/>
      <c r="CC27" s="489"/>
      <c r="CD27" s="489"/>
      <c r="CE27" s="489"/>
      <c r="CF27" s="489"/>
      <c r="CG27" s="489"/>
      <c r="CL27" s="495"/>
      <c r="CM27" s="495"/>
      <c r="CN27" s="495"/>
      <c r="CO27" s="495"/>
      <c r="CP27" s="495"/>
      <c r="CQ27" s="491"/>
      <c r="CR27" s="495"/>
      <c r="CS27" s="495"/>
      <c r="CT27" s="495"/>
      <c r="CU27" s="495"/>
      <c r="CV27" s="495"/>
      <c r="CW27" s="495"/>
      <c r="CX27" s="495"/>
      <c r="CY27" s="489"/>
      <c r="CZ27" s="489"/>
      <c r="DA27" s="489"/>
      <c r="DB27" s="489"/>
      <c r="DC27" s="489"/>
      <c r="DD27" s="489"/>
    </row>
    <row r="28" spans="1:108">
      <c r="A28" s="241">
        <v>34128.512092904442</v>
      </c>
      <c r="B28" s="241">
        <v>0</v>
      </c>
      <c r="C28" s="241">
        <v>0</v>
      </c>
      <c r="D28" s="241">
        <v>0</v>
      </c>
      <c r="E28" s="241">
        <v>0</v>
      </c>
      <c r="F28" s="495">
        <v>0</v>
      </c>
      <c r="G28" s="495">
        <v>0</v>
      </c>
      <c r="H28" s="53">
        <v>1</v>
      </c>
      <c r="I28" s="241"/>
      <c r="J28" s="241">
        <v>0</v>
      </c>
      <c r="K28" s="241">
        <v>0</v>
      </c>
      <c r="L28" s="241">
        <v>0</v>
      </c>
      <c r="M28" s="241">
        <v>4296.4525194884791</v>
      </c>
      <c r="N28" s="495">
        <v>0</v>
      </c>
      <c r="O28" s="241"/>
      <c r="P28" s="241">
        <v>4296.4525194884791</v>
      </c>
      <c r="U28" s="377">
        <v>705472</v>
      </c>
      <c r="AA28" s="241">
        <v>4296.4525194884791</v>
      </c>
      <c r="AB28" s="241">
        <v>0</v>
      </c>
      <c r="AC28" s="377" t="s">
        <v>1263</v>
      </c>
      <c r="AJ28" s="495"/>
      <c r="AK28" s="495"/>
      <c r="AL28" s="495"/>
      <c r="AM28" s="495"/>
      <c r="AN28" s="495"/>
      <c r="AO28" s="491"/>
      <c r="AP28" s="495"/>
      <c r="AQ28" s="495"/>
      <c r="AR28" s="495"/>
      <c r="AS28" s="495"/>
      <c r="AT28" s="495"/>
      <c r="AU28" s="495"/>
      <c r="AV28" s="495"/>
      <c r="AW28" s="489"/>
      <c r="AX28" s="489"/>
      <c r="AY28" s="489"/>
      <c r="AZ28" s="489"/>
      <c r="BA28" s="489"/>
      <c r="BB28" s="489"/>
      <c r="BO28" s="495"/>
      <c r="BP28" s="495"/>
      <c r="BQ28" s="495"/>
      <c r="BR28" s="495"/>
      <c r="BS28" s="495"/>
      <c r="BT28" s="491"/>
      <c r="BU28" s="495"/>
      <c r="BV28" s="495"/>
      <c r="BW28" s="495"/>
      <c r="BX28" s="495"/>
      <c r="BY28" s="495"/>
      <c r="BZ28" s="495"/>
      <c r="CA28" s="495"/>
      <c r="CB28" s="489"/>
      <c r="CC28" s="489"/>
      <c r="CD28" s="489"/>
      <c r="CE28" s="489"/>
      <c r="CF28" s="489"/>
      <c r="CG28" s="489"/>
      <c r="CL28" s="495"/>
      <c r="CM28" s="495"/>
      <c r="CN28" s="495"/>
      <c r="CO28" s="495"/>
      <c r="CP28" s="495"/>
      <c r="CQ28" s="491"/>
      <c r="CR28" s="495"/>
      <c r="CS28" s="495"/>
      <c r="CT28" s="495"/>
      <c r="CU28" s="495"/>
      <c r="CV28" s="495"/>
      <c r="CW28" s="495"/>
      <c r="CX28" s="495"/>
      <c r="CY28" s="489"/>
      <c r="CZ28" s="489"/>
      <c r="DA28" s="489"/>
      <c r="DB28" s="489"/>
      <c r="DC28" s="489"/>
      <c r="DD28" s="489"/>
    </row>
    <row r="29" spans="1:108">
      <c r="A29" s="241">
        <v>34121.260578443362</v>
      </c>
      <c r="B29" s="241">
        <v>0</v>
      </c>
      <c r="C29" s="241">
        <v>0</v>
      </c>
      <c r="D29" s="241">
        <v>0</v>
      </c>
      <c r="E29" s="241">
        <v>0</v>
      </c>
      <c r="F29" s="495">
        <v>0</v>
      </c>
      <c r="G29" s="495">
        <v>0</v>
      </c>
      <c r="H29" s="53">
        <v>1</v>
      </c>
      <c r="I29" s="241"/>
      <c r="J29" s="241">
        <v>0</v>
      </c>
      <c r="K29" s="241">
        <v>0</v>
      </c>
      <c r="L29" s="241">
        <v>0</v>
      </c>
      <c r="M29" s="241">
        <v>4086.8694697573337</v>
      </c>
      <c r="N29" s="495">
        <v>0</v>
      </c>
      <c r="O29" s="241"/>
      <c r="P29" s="241">
        <v>4086.8694697573337</v>
      </c>
      <c r="U29" s="377">
        <v>739593</v>
      </c>
      <c r="AA29" s="241">
        <v>4086.8694697573337</v>
      </c>
      <c r="AB29" s="241">
        <v>0</v>
      </c>
      <c r="AC29" s="377" t="s">
        <v>1263</v>
      </c>
      <c r="AJ29" s="495"/>
      <c r="AK29" s="495"/>
      <c r="AL29" s="495"/>
      <c r="AM29" s="495"/>
      <c r="AN29" s="495"/>
      <c r="AO29" s="491"/>
      <c r="AP29" s="495"/>
      <c r="AQ29" s="495"/>
      <c r="AR29" s="495"/>
      <c r="AS29" s="495"/>
      <c r="AT29" s="495"/>
      <c r="AU29" s="495"/>
      <c r="AV29" s="495"/>
      <c r="AW29" s="489"/>
      <c r="AX29" s="489"/>
      <c r="AY29" s="489"/>
      <c r="AZ29" s="489"/>
      <c r="BA29" s="489"/>
      <c r="BB29" s="489"/>
      <c r="BO29" s="495"/>
      <c r="BP29" s="495"/>
      <c r="BQ29" s="495"/>
      <c r="BR29" s="495"/>
      <c r="BS29" s="495"/>
      <c r="BT29" s="491"/>
      <c r="BU29" s="495"/>
      <c r="BV29" s="495"/>
      <c r="BW29" s="495"/>
      <c r="BX29" s="495"/>
      <c r="BY29" s="495"/>
      <c r="BZ29" s="495"/>
      <c r="CA29" s="495"/>
      <c r="CB29" s="489"/>
      <c r="CC29" s="489"/>
      <c r="CD29" s="489"/>
      <c r="CE29" s="489"/>
      <c r="CF29" s="489"/>
      <c r="CG29" s="489"/>
      <c r="CL29" s="495"/>
      <c r="CM29" s="495"/>
      <c r="CN29" s="495"/>
      <c r="CO29" s="495"/>
      <c r="CP29" s="495"/>
      <c r="CQ29" s="491"/>
      <c r="CR29" s="495"/>
      <c r="CS29" s="495"/>
      <c r="CT29" s="495"/>
      <c r="CU29" s="495"/>
      <c r="CV29" s="495"/>
      <c r="CW29" s="495"/>
      <c r="CX29" s="495"/>
      <c r="CY29" s="489"/>
      <c r="CZ29" s="489"/>
      <c r="DA29" s="489"/>
      <c r="DB29" s="489"/>
      <c r="DC29" s="489"/>
      <c r="DD29" s="489"/>
    </row>
    <row r="30" spans="1:108">
      <c r="A30" s="241">
        <v>34114.185930188643</v>
      </c>
      <c r="B30" s="241">
        <v>0</v>
      </c>
      <c r="C30" s="241">
        <v>0</v>
      </c>
      <c r="D30" s="241">
        <v>0</v>
      </c>
      <c r="E30" s="241">
        <v>0</v>
      </c>
      <c r="F30" s="495">
        <v>0</v>
      </c>
      <c r="G30" s="495">
        <v>0</v>
      </c>
      <c r="H30" s="53">
        <v>1</v>
      </c>
      <c r="I30" s="241"/>
      <c r="J30" s="241">
        <v>0</v>
      </c>
      <c r="K30" s="241">
        <v>0</v>
      </c>
      <c r="L30" s="241">
        <v>0</v>
      </c>
      <c r="M30" s="241">
        <v>3887.5099834277075</v>
      </c>
      <c r="N30" s="495">
        <v>0</v>
      </c>
      <c r="O30" s="241"/>
      <c r="P30" s="241">
        <v>3887.5099834277075</v>
      </c>
      <c r="U30" s="377">
        <v>773707</v>
      </c>
      <c r="AA30" s="241">
        <v>3887.5099834277075</v>
      </c>
      <c r="AB30" s="241">
        <v>0</v>
      </c>
      <c r="AC30" s="377" t="s">
        <v>1263</v>
      </c>
      <c r="AJ30" s="495"/>
      <c r="AK30" s="495"/>
      <c r="AL30" s="495"/>
      <c r="AM30" s="495"/>
      <c r="AN30" s="495"/>
      <c r="AO30" s="491"/>
      <c r="AP30" s="495"/>
      <c r="AQ30" s="495"/>
      <c r="AR30" s="495"/>
      <c r="AS30" s="495"/>
      <c r="AT30" s="495"/>
      <c r="AU30" s="495"/>
      <c r="AV30" s="495"/>
      <c r="AW30" s="489"/>
      <c r="AX30" s="489"/>
      <c r="AY30" s="489"/>
      <c r="AZ30" s="489"/>
      <c r="BA30" s="489"/>
      <c r="BB30" s="489"/>
      <c r="BO30" s="495"/>
      <c r="BP30" s="495"/>
      <c r="BQ30" s="495"/>
      <c r="BR30" s="495"/>
      <c r="BS30" s="495"/>
      <c r="BT30" s="491"/>
      <c r="BU30" s="495"/>
      <c r="BV30" s="495"/>
      <c r="BW30" s="495"/>
      <c r="BX30" s="495"/>
      <c r="BY30" s="495"/>
      <c r="BZ30" s="495"/>
      <c r="CA30" s="495"/>
      <c r="CB30" s="489"/>
      <c r="CC30" s="489"/>
      <c r="CD30" s="489"/>
      <c r="CE30" s="489"/>
      <c r="CF30" s="489"/>
      <c r="CG30" s="489"/>
      <c r="CL30" s="495"/>
      <c r="CM30" s="495"/>
      <c r="CN30" s="495"/>
      <c r="CO30" s="495"/>
      <c r="CP30" s="495"/>
      <c r="CQ30" s="491"/>
      <c r="CR30" s="495"/>
      <c r="CS30" s="495"/>
      <c r="CT30" s="495"/>
      <c r="CU30" s="495"/>
      <c r="CV30" s="495"/>
      <c r="CW30" s="495"/>
      <c r="CX30" s="495"/>
      <c r="CY30" s="489"/>
      <c r="CZ30" s="489"/>
      <c r="DA30" s="489"/>
      <c r="DB30" s="489"/>
      <c r="DC30" s="489"/>
      <c r="DD30" s="489"/>
    </row>
    <row r="31" spans="1:108">
      <c r="A31" s="241">
        <v>34107.283834330381</v>
      </c>
      <c r="B31" s="241">
        <v>0</v>
      </c>
      <c r="C31" s="241">
        <v>0</v>
      </c>
      <c r="D31" s="241">
        <v>0</v>
      </c>
      <c r="E31" s="241">
        <v>0</v>
      </c>
      <c r="F31" s="495">
        <v>0</v>
      </c>
      <c r="G31" s="495">
        <v>0</v>
      </c>
      <c r="H31" s="53">
        <v>1</v>
      </c>
      <c r="I31" s="241"/>
      <c r="J31" s="241">
        <v>0</v>
      </c>
      <c r="K31" s="241">
        <v>0</v>
      </c>
      <c r="L31" s="241">
        <v>0</v>
      </c>
      <c r="M31" s="241">
        <v>3697.8753500897706</v>
      </c>
      <c r="N31" s="495">
        <v>0</v>
      </c>
      <c r="O31" s="241"/>
      <c r="P31" s="241">
        <v>3697.8753500897706</v>
      </c>
      <c r="U31" s="377">
        <v>807814</v>
      </c>
      <c r="AA31" s="241">
        <v>3697.8753500897706</v>
      </c>
      <c r="AB31" s="241">
        <v>0</v>
      </c>
      <c r="AC31" s="377" t="s">
        <v>1263</v>
      </c>
      <c r="AJ31" s="495"/>
      <c r="AK31" s="495"/>
      <c r="AL31" s="495"/>
      <c r="AM31" s="495"/>
      <c r="AN31" s="495"/>
      <c r="AO31" s="491"/>
      <c r="AP31" s="495"/>
      <c r="AQ31" s="495"/>
      <c r="AR31" s="495"/>
      <c r="AS31" s="495"/>
      <c r="AT31" s="495"/>
      <c r="AU31" s="495"/>
      <c r="AV31" s="495"/>
      <c r="AW31" s="489"/>
      <c r="AX31" s="489"/>
      <c r="AY31" s="489"/>
      <c r="AZ31" s="489"/>
      <c r="BA31" s="489"/>
      <c r="BB31" s="489"/>
      <c r="BO31" s="495"/>
      <c r="BP31" s="495"/>
      <c r="BQ31" s="495"/>
      <c r="BR31" s="495"/>
      <c r="BS31" s="495"/>
      <c r="BT31" s="491"/>
      <c r="BU31" s="495"/>
      <c r="BV31" s="495"/>
      <c r="BW31" s="495"/>
      <c r="BX31" s="495"/>
      <c r="BY31" s="495"/>
      <c r="BZ31" s="495"/>
      <c r="CA31" s="495"/>
      <c r="CB31" s="489"/>
      <c r="CC31" s="489"/>
      <c r="CD31" s="489"/>
      <c r="CE31" s="489"/>
      <c r="CF31" s="489"/>
      <c r="CG31" s="489"/>
      <c r="CL31" s="495"/>
      <c r="CM31" s="495"/>
      <c r="CN31" s="495"/>
      <c r="CO31" s="495"/>
      <c r="CP31" s="495"/>
      <c r="CQ31" s="491"/>
      <c r="CR31" s="495"/>
      <c r="CS31" s="495"/>
      <c r="CT31" s="495"/>
      <c r="CU31" s="495"/>
      <c r="CV31" s="495"/>
      <c r="CW31" s="495"/>
      <c r="CX31" s="495"/>
      <c r="CY31" s="489"/>
      <c r="CZ31" s="489"/>
      <c r="DA31" s="489"/>
      <c r="DB31" s="489"/>
      <c r="DC31" s="489"/>
      <c r="DD31" s="489"/>
    </row>
    <row r="32" spans="1:108">
      <c r="A32" s="241">
        <v>34100.550082273541</v>
      </c>
      <c r="B32" s="241">
        <v>0</v>
      </c>
      <c r="C32" s="241">
        <v>0</v>
      </c>
      <c r="D32" s="241">
        <v>0</v>
      </c>
      <c r="E32" s="241">
        <v>0</v>
      </c>
      <c r="F32" s="495">
        <v>0</v>
      </c>
      <c r="G32" s="495">
        <v>0</v>
      </c>
      <c r="H32" s="53">
        <v>1</v>
      </c>
      <c r="I32" s="241"/>
      <c r="J32" s="241">
        <v>0</v>
      </c>
      <c r="K32" s="241">
        <v>0</v>
      </c>
      <c r="L32" s="241">
        <v>0</v>
      </c>
      <c r="M32" s="241">
        <v>3517.4911866707575</v>
      </c>
      <c r="N32" s="495">
        <v>0</v>
      </c>
      <c r="O32" s="241"/>
      <c r="P32" s="241">
        <v>3517.4911866707575</v>
      </c>
      <c r="U32" s="377">
        <v>841915</v>
      </c>
      <c r="AA32" s="241">
        <v>3517.4911866707575</v>
      </c>
      <c r="AB32" s="241">
        <v>0</v>
      </c>
      <c r="AC32" s="377" t="s">
        <v>1263</v>
      </c>
      <c r="AJ32" s="495"/>
      <c r="AK32" s="495"/>
      <c r="AL32" s="495"/>
      <c r="AM32" s="495"/>
      <c r="AN32" s="495"/>
      <c r="AO32" s="491"/>
      <c r="AP32" s="495"/>
      <c r="AQ32" s="495"/>
      <c r="AR32" s="495"/>
      <c r="AS32" s="495"/>
      <c r="AT32" s="495"/>
      <c r="AU32" s="495"/>
      <c r="AV32" s="495"/>
      <c r="AW32" s="489"/>
      <c r="AX32" s="489"/>
      <c r="AY32" s="489"/>
      <c r="AZ32" s="489"/>
      <c r="BA32" s="489"/>
      <c r="BB32" s="489"/>
      <c r="BO32" s="495"/>
      <c r="BP32" s="495"/>
      <c r="BQ32" s="495"/>
      <c r="BR32" s="495"/>
      <c r="BS32" s="495"/>
      <c r="BT32" s="491"/>
      <c r="BU32" s="495"/>
      <c r="BV32" s="495"/>
      <c r="BW32" s="495"/>
      <c r="BX32" s="495"/>
      <c r="BY32" s="495"/>
      <c r="BZ32" s="495"/>
      <c r="CA32" s="495"/>
      <c r="CB32" s="489"/>
      <c r="CC32" s="489"/>
      <c r="CD32" s="489"/>
      <c r="CE32" s="489"/>
      <c r="CF32" s="489"/>
      <c r="CG32" s="489"/>
      <c r="CL32" s="495"/>
      <c r="CM32" s="495"/>
      <c r="CN32" s="495"/>
      <c r="CO32" s="495"/>
      <c r="CP32" s="495"/>
      <c r="CQ32" s="491"/>
      <c r="CR32" s="495"/>
      <c r="CS32" s="495"/>
      <c r="CT32" s="495"/>
      <c r="CU32" s="495"/>
      <c r="CV32" s="495"/>
      <c r="CW32" s="495"/>
      <c r="CX32" s="495"/>
      <c r="CY32" s="489"/>
      <c r="CZ32" s="489"/>
      <c r="DA32" s="489"/>
      <c r="DB32" s="489"/>
      <c r="DC32" s="489"/>
      <c r="DD32" s="489"/>
    </row>
    <row r="33" spans="1:108">
      <c r="A33" s="241">
        <v>34093.980568071747</v>
      </c>
      <c r="B33" s="241">
        <v>0</v>
      </c>
      <c r="C33" s="241">
        <v>0</v>
      </c>
      <c r="D33" s="241">
        <v>0</v>
      </c>
      <c r="E33" s="241">
        <v>0</v>
      </c>
      <c r="F33" s="495">
        <v>0</v>
      </c>
      <c r="G33" s="495">
        <v>0</v>
      </c>
      <c r="H33" s="53">
        <v>1</v>
      </c>
      <c r="I33" s="241"/>
      <c r="J33" s="241">
        <v>0</v>
      </c>
      <c r="K33" s="241">
        <v>0</v>
      </c>
      <c r="L33" s="241">
        <v>0</v>
      </c>
      <c r="M33" s="241">
        <v>3345.9062507355989</v>
      </c>
      <c r="N33" s="495">
        <v>0</v>
      </c>
      <c r="O33" s="241"/>
      <c r="P33" s="241">
        <v>3345.9062507355989</v>
      </c>
      <c r="U33" s="377">
        <v>876009</v>
      </c>
      <c r="AA33" s="241">
        <v>3345.9062507355989</v>
      </c>
      <c r="AB33" s="241">
        <v>0</v>
      </c>
      <c r="AC33" s="377" t="s">
        <v>1263</v>
      </c>
      <c r="AJ33" s="495"/>
      <c r="AK33" s="495"/>
      <c r="AL33" s="495"/>
      <c r="AM33" s="495"/>
      <c r="AN33" s="495"/>
      <c r="AO33" s="491"/>
      <c r="AP33" s="495"/>
      <c r="AQ33" s="495"/>
      <c r="AR33" s="495"/>
      <c r="AS33" s="495"/>
      <c r="AT33" s="495"/>
      <c r="AU33" s="495"/>
      <c r="AV33" s="495"/>
      <c r="AW33" s="489"/>
      <c r="AX33" s="489"/>
      <c r="AY33" s="489"/>
      <c r="AZ33" s="489"/>
      <c r="BA33" s="489"/>
      <c r="BB33" s="489"/>
      <c r="BO33" s="495"/>
      <c r="BP33" s="495"/>
      <c r="BQ33" s="495"/>
      <c r="BR33" s="495"/>
      <c r="BS33" s="495"/>
      <c r="BT33" s="491"/>
      <c r="BU33" s="495"/>
      <c r="BV33" s="495"/>
      <c r="BW33" s="495"/>
      <c r="BX33" s="495"/>
      <c r="BY33" s="495"/>
      <c r="BZ33" s="495"/>
      <c r="CA33" s="495"/>
      <c r="CB33" s="489"/>
      <c r="CC33" s="489"/>
      <c r="CD33" s="489"/>
      <c r="CE33" s="489"/>
      <c r="CF33" s="489"/>
      <c r="CG33" s="489"/>
      <c r="CL33" s="495"/>
      <c r="CM33" s="495"/>
      <c r="CN33" s="495"/>
      <c r="CO33" s="495"/>
      <c r="CP33" s="495"/>
      <c r="CQ33" s="491"/>
      <c r="CR33" s="495"/>
      <c r="CS33" s="495"/>
      <c r="CT33" s="495"/>
      <c r="CU33" s="495"/>
      <c r="CV33" s="495"/>
      <c r="CW33" s="495"/>
      <c r="CX33" s="495"/>
      <c r="CY33" s="489"/>
      <c r="CZ33" s="489"/>
      <c r="DA33" s="489"/>
      <c r="DB33" s="489"/>
      <c r="DC33" s="489"/>
      <c r="DD33" s="489"/>
    </row>
    <row r="34" spans="1:108">
      <c r="A34" s="241">
        <v>34087.571285923659</v>
      </c>
      <c r="B34" s="241">
        <v>0</v>
      </c>
      <c r="C34" s="241">
        <v>0</v>
      </c>
      <c r="D34" s="241">
        <v>0</v>
      </c>
      <c r="E34" s="241">
        <v>0</v>
      </c>
      <c r="F34" s="495">
        <v>0</v>
      </c>
      <c r="G34" s="495">
        <v>0</v>
      </c>
      <c r="H34" s="53">
        <v>1</v>
      </c>
      <c r="I34" s="241"/>
      <c r="J34" s="241">
        <v>0</v>
      </c>
      <c r="K34" s="241">
        <v>0</v>
      </c>
      <c r="L34" s="241">
        <v>0</v>
      </c>
      <c r="M34" s="241">
        <v>3182.6913116753258</v>
      </c>
      <c r="N34" s="495">
        <v>0</v>
      </c>
      <c r="O34" s="241"/>
      <c r="P34" s="241">
        <v>3182.6913116753258</v>
      </c>
      <c r="U34" s="377">
        <v>910097</v>
      </c>
      <c r="AA34" s="241">
        <v>3182.6913116753258</v>
      </c>
      <c r="AB34" s="241">
        <v>0</v>
      </c>
      <c r="AC34" s="377" t="s">
        <v>1263</v>
      </c>
      <c r="AJ34" s="495"/>
      <c r="AK34" s="495"/>
      <c r="AL34" s="495"/>
      <c r="AM34" s="495"/>
      <c r="AN34" s="495"/>
      <c r="AO34" s="491"/>
      <c r="AP34" s="495"/>
      <c r="AQ34" s="495"/>
      <c r="AR34" s="495"/>
      <c r="AS34" s="495"/>
      <c r="AT34" s="495"/>
      <c r="AU34" s="495"/>
      <c r="AV34" s="495"/>
      <c r="AW34" s="489"/>
      <c r="AX34" s="489"/>
      <c r="AY34" s="489"/>
      <c r="AZ34" s="489"/>
      <c r="BA34" s="489"/>
      <c r="BB34" s="489"/>
      <c r="BO34" s="495"/>
      <c r="BP34" s="495"/>
      <c r="BQ34" s="495"/>
      <c r="BR34" s="495"/>
      <c r="BS34" s="495"/>
      <c r="BT34" s="491"/>
      <c r="BU34" s="495"/>
      <c r="BV34" s="495"/>
      <c r="BW34" s="495"/>
      <c r="BX34" s="495"/>
      <c r="BY34" s="495"/>
      <c r="BZ34" s="495"/>
      <c r="CA34" s="495"/>
      <c r="CB34" s="489"/>
      <c r="CC34" s="489"/>
      <c r="CD34" s="489"/>
      <c r="CE34" s="489"/>
      <c r="CF34" s="489"/>
      <c r="CG34" s="489"/>
      <c r="CL34" s="495"/>
      <c r="CM34" s="495"/>
      <c r="CN34" s="495"/>
      <c r="CO34" s="495"/>
      <c r="CP34" s="495"/>
      <c r="CQ34" s="491"/>
      <c r="CR34" s="495"/>
      <c r="CS34" s="495"/>
      <c r="CT34" s="495"/>
      <c r="CU34" s="495"/>
      <c r="CV34" s="495"/>
      <c r="CW34" s="495"/>
      <c r="CX34" s="495"/>
      <c r="CY34" s="489"/>
      <c r="CZ34" s="489"/>
      <c r="DA34" s="489"/>
      <c r="DB34" s="489"/>
      <c r="DC34" s="489"/>
      <c r="DD34" s="489"/>
    </row>
    <row r="35" spans="1:108">
      <c r="A35" s="241">
        <v>34081.318327730398</v>
      </c>
      <c r="B35" s="241">
        <v>0</v>
      </c>
      <c r="C35" s="241">
        <v>0</v>
      </c>
      <c r="D35" s="241">
        <v>0</v>
      </c>
      <c r="E35" s="241">
        <v>0</v>
      </c>
      <c r="F35" s="495">
        <v>0</v>
      </c>
      <c r="G35" s="495">
        <v>0</v>
      </c>
      <c r="H35" s="53">
        <v>1</v>
      </c>
      <c r="I35" s="241"/>
      <c r="J35" s="241">
        <v>0</v>
      </c>
      <c r="K35" s="241">
        <v>0</v>
      </c>
      <c r="L35" s="241">
        <v>0</v>
      </c>
      <c r="M35" s="241">
        <v>3027.4380769594563</v>
      </c>
      <c r="N35" s="495">
        <v>0</v>
      </c>
      <c r="O35" s="241"/>
      <c r="P35" s="241">
        <v>3027.4380769594563</v>
      </c>
      <c r="U35" s="377">
        <v>944178</v>
      </c>
      <c r="AA35" s="241">
        <v>3027.4380769594563</v>
      </c>
      <c r="AB35" s="241">
        <v>0</v>
      </c>
      <c r="AC35" s="377" t="s">
        <v>1263</v>
      </c>
      <c r="AJ35" s="495"/>
      <c r="AK35" s="495"/>
      <c r="AL35" s="495"/>
      <c r="AM35" s="495"/>
      <c r="AN35" s="495"/>
      <c r="AO35" s="491"/>
      <c r="AP35" s="495"/>
      <c r="AQ35" s="495"/>
      <c r="AR35" s="495"/>
      <c r="AS35" s="495"/>
      <c r="AT35" s="495"/>
      <c r="AU35" s="495"/>
      <c r="AV35" s="495"/>
      <c r="AW35" s="489"/>
      <c r="AX35" s="489"/>
      <c r="AY35" s="489"/>
      <c r="AZ35" s="489"/>
      <c r="BA35" s="489"/>
      <c r="BB35" s="489"/>
      <c r="BO35" s="495"/>
      <c r="BP35" s="495"/>
      <c r="BQ35" s="495"/>
      <c r="BR35" s="495"/>
      <c r="BS35" s="495"/>
      <c r="BT35" s="491"/>
      <c r="BU35" s="495"/>
      <c r="BV35" s="495"/>
      <c r="BW35" s="495"/>
      <c r="BX35" s="495"/>
      <c r="BY35" s="495"/>
      <c r="BZ35" s="495"/>
      <c r="CA35" s="495"/>
      <c r="CB35" s="489"/>
      <c r="CC35" s="489"/>
      <c r="CD35" s="489"/>
      <c r="CE35" s="489"/>
      <c r="CF35" s="489"/>
      <c r="CG35" s="489"/>
      <c r="CL35" s="495"/>
      <c r="CM35" s="495"/>
      <c r="CN35" s="495"/>
      <c r="CO35" s="495"/>
      <c r="CP35" s="495"/>
      <c r="CQ35" s="491"/>
      <c r="CR35" s="495"/>
      <c r="CS35" s="495"/>
      <c r="CT35" s="495"/>
      <c r="CU35" s="495"/>
      <c r="CV35" s="495"/>
      <c r="CW35" s="495"/>
      <c r="CX35" s="495"/>
      <c r="CY35" s="489"/>
      <c r="CZ35" s="489"/>
      <c r="DA35" s="489"/>
      <c r="DB35" s="489"/>
      <c r="DC35" s="489"/>
      <c r="DD35" s="489"/>
    </row>
    <row r="36" spans="1:108">
      <c r="A36" s="241">
        <v>34075.217880712582</v>
      </c>
      <c r="B36" s="241">
        <v>0</v>
      </c>
      <c r="C36" s="241">
        <v>0</v>
      </c>
      <c r="D36" s="241">
        <v>0</v>
      </c>
      <c r="E36" s="241">
        <v>0</v>
      </c>
      <c r="F36" s="495">
        <v>0</v>
      </c>
      <c r="G36" s="495">
        <v>0</v>
      </c>
      <c r="H36" s="53">
        <v>1</v>
      </c>
      <c r="I36" s="241"/>
      <c r="J36" s="241">
        <v>0</v>
      </c>
      <c r="K36" s="241">
        <v>0</v>
      </c>
      <c r="L36" s="241">
        <v>0</v>
      </c>
      <c r="M36" s="241">
        <v>2879.7581707663117</v>
      </c>
      <c r="N36" s="495">
        <v>0</v>
      </c>
      <c r="O36" s="241"/>
      <c r="P36" s="241">
        <v>2879.7581707663117</v>
      </c>
      <c r="U36" s="377">
        <v>978253</v>
      </c>
      <c r="AA36" s="241">
        <v>2879.7581707663117</v>
      </c>
      <c r="AB36" s="241">
        <v>0</v>
      </c>
      <c r="AC36" s="377" t="s">
        <v>1263</v>
      </c>
      <c r="AJ36" s="495"/>
      <c r="AK36" s="495"/>
      <c r="AL36" s="495"/>
      <c r="AM36" s="495"/>
      <c r="AN36" s="495"/>
      <c r="AO36" s="491"/>
      <c r="AP36" s="495"/>
      <c r="AQ36" s="495"/>
      <c r="AR36" s="495"/>
      <c r="AS36" s="495"/>
      <c r="AT36" s="495"/>
      <c r="AU36" s="495"/>
      <c r="AV36" s="495"/>
      <c r="AW36" s="489"/>
      <c r="AX36" s="489"/>
      <c r="AY36" s="489"/>
      <c r="AZ36" s="489"/>
      <c r="BA36" s="489"/>
      <c r="BB36" s="489"/>
      <c r="BO36" s="495"/>
      <c r="BP36" s="495"/>
      <c r="BQ36" s="495"/>
      <c r="BR36" s="495"/>
      <c r="BS36" s="495"/>
      <c r="BT36" s="491"/>
      <c r="BU36" s="495"/>
      <c r="BV36" s="495"/>
      <c r="BW36" s="495"/>
      <c r="BX36" s="495"/>
      <c r="BY36" s="495"/>
      <c r="BZ36" s="495"/>
      <c r="CA36" s="495"/>
      <c r="CB36" s="489"/>
      <c r="CC36" s="489"/>
      <c r="CD36" s="489"/>
      <c r="CE36" s="489"/>
      <c r="CF36" s="489"/>
      <c r="CG36" s="489"/>
      <c r="CL36" s="495"/>
      <c r="CM36" s="495"/>
      <c r="CN36" s="495"/>
      <c r="CO36" s="495"/>
      <c r="CP36" s="495"/>
      <c r="CQ36" s="491"/>
      <c r="CR36" s="495"/>
      <c r="CS36" s="495"/>
      <c r="CT36" s="495"/>
      <c r="CU36" s="495"/>
      <c r="CV36" s="495"/>
      <c r="CW36" s="495"/>
      <c r="CX36" s="495"/>
      <c r="CY36" s="489"/>
      <c r="CZ36" s="489"/>
      <c r="DA36" s="489"/>
      <c r="DB36" s="489"/>
      <c r="DC36" s="489"/>
      <c r="DD36" s="489"/>
    </row>
    <row r="37" spans="1:108">
      <c r="A37" s="241">
        <v>34069.266225085448</v>
      </c>
      <c r="B37" s="241">
        <v>0</v>
      </c>
      <c r="C37" s="241">
        <v>0</v>
      </c>
      <c r="D37" s="241">
        <v>0</v>
      </c>
      <c r="E37" s="241">
        <v>0</v>
      </c>
      <c r="F37" s="495">
        <v>0</v>
      </c>
      <c r="G37" s="495">
        <v>0</v>
      </c>
      <c r="H37" s="53">
        <v>1</v>
      </c>
      <c r="I37" s="241"/>
      <c r="J37" s="241">
        <v>0</v>
      </c>
      <c r="K37" s="241">
        <v>0</v>
      </c>
      <c r="L37" s="241">
        <v>0</v>
      </c>
      <c r="M37" s="241">
        <v>2739.2821624362477</v>
      </c>
      <c r="N37" s="495">
        <v>0</v>
      </c>
      <c r="O37" s="241"/>
      <c r="P37" s="241">
        <v>2739.2821624362477</v>
      </c>
      <c r="U37" s="377">
        <v>1012322</v>
      </c>
      <c r="AA37" s="241">
        <v>2739.2821624362477</v>
      </c>
      <c r="AB37" s="241">
        <v>0</v>
      </c>
      <c r="AC37" s="377" t="s">
        <v>1263</v>
      </c>
      <c r="AJ37" s="495"/>
      <c r="AK37" s="495"/>
      <c r="AL37" s="495"/>
      <c r="AM37" s="495"/>
      <c r="AN37" s="495"/>
      <c r="AO37" s="491"/>
      <c r="AP37" s="495"/>
      <c r="AQ37" s="495"/>
      <c r="AR37" s="495"/>
      <c r="AS37" s="495"/>
      <c r="AT37" s="495"/>
      <c r="AU37" s="495"/>
      <c r="AV37" s="495"/>
      <c r="AW37" s="489"/>
      <c r="AX37" s="489"/>
      <c r="AY37" s="489"/>
      <c r="AZ37" s="489"/>
      <c r="BA37" s="489"/>
      <c r="BB37" s="489"/>
      <c r="BO37" s="495"/>
      <c r="BP37" s="495"/>
      <c r="BQ37" s="495"/>
      <c r="BR37" s="495"/>
      <c r="BS37" s="495"/>
      <c r="BT37" s="491"/>
      <c r="BU37" s="495"/>
      <c r="BV37" s="495"/>
      <c r="BW37" s="495"/>
      <c r="BX37" s="495"/>
      <c r="BY37" s="495"/>
      <c r="BZ37" s="495"/>
      <c r="CA37" s="495"/>
      <c r="CB37" s="489"/>
      <c r="CC37" s="489"/>
      <c r="CD37" s="489"/>
      <c r="CE37" s="489"/>
      <c r="CF37" s="489"/>
      <c r="CG37" s="489"/>
      <c r="CL37" s="495"/>
      <c r="CM37" s="495"/>
      <c r="CN37" s="495"/>
      <c r="CO37" s="495"/>
      <c r="CP37" s="495"/>
      <c r="CQ37" s="491"/>
      <c r="CR37" s="495"/>
      <c r="CS37" s="495"/>
      <c r="CT37" s="495"/>
      <c r="CU37" s="495"/>
      <c r="CV37" s="495"/>
      <c r="CW37" s="495"/>
      <c r="CX37" s="495"/>
      <c r="CY37" s="489"/>
      <c r="CZ37" s="489"/>
      <c r="DA37" s="489"/>
      <c r="DB37" s="489"/>
      <c r="DC37" s="489"/>
      <c r="DD37" s="489"/>
    </row>
    <row r="38" spans="1:108">
      <c r="A38" s="241"/>
      <c r="B38" s="241"/>
      <c r="C38" s="241"/>
      <c r="D38" s="241"/>
      <c r="E38" s="241"/>
      <c r="F38" s="495"/>
      <c r="G38" s="495"/>
      <c r="I38" s="241"/>
      <c r="J38" s="241"/>
      <c r="K38" s="241"/>
      <c r="L38" s="241"/>
      <c r="M38" s="241"/>
      <c r="N38" s="495"/>
      <c r="O38" s="241"/>
      <c r="P38" s="241"/>
      <c r="AA38" s="241"/>
      <c r="AB38" s="241"/>
      <c r="AJ38" s="495"/>
      <c r="AK38" s="495"/>
      <c r="AL38" s="495"/>
      <c r="AM38" s="495"/>
      <c r="AN38" s="495"/>
      <c r="AO38" s="491"/>
      <c r="AP38" s="495"/>
      <c r="AQ38" s="495"/>
      <c r="AR38" s="495"/>
      <c r="AS38" s="495"/>
      <c r="AT38" s="495"/>
      <c r="AU38" s="495"/>
      <c r="AV38" s="495"/>
      <c r="AW38" s="489"/>
      <c r="AX38" s="489"/>
      <c r="AY38" s="489"/>
      <c r="AZ38" s="489"/>
      <c r="BA38" s="489"/>
      <c r="BB38" s="489"/>
      <c r="BO38" s="495"/>
      <c r="BP38" s="495"/>
      <c r="BQ38" s="495"/>
      <c r="BR38" s="495"/>
      <c r="BS38" s="495"/>
      <c r="BT38" s="491"/>
      <c r="BU38" s="495"/>
      <c r="BV38" s="495"/>
      <c r="BW38" s="495"/>
      <c r="BX38" s="495"/>
      <c r="BY38" s="495"/>
      <c r="BZ38" s="495"/>
      <c r="CA38" s="495"/>
      <c r="CB38" s="489"/>
      <c r="CC38" s="489"/>
      <c r="CD38" s="489"/>
      <c r="CE38" s="489"/>
      <c r="CF38" s="489"/>
      <c r="CG38" s="489"/>
      <c r="CL38" s="495"/>
      <c r="CM38" s="495"/>
      <c r="CN38" s="495"/>
      <c r="CO38" s="495"/>
      <c r="CP38" s="495"/>
      <c r="CQ38" s="491"/>
      <c r="CR38" s="495"/>
      <c r="CS38" s="495"/>
      <c r="CT38" s="495"/>
      <c r="CU38" s="495"/>
      <c r="CV38" s="495"/>
      <c r="CW38" s="495"/>
      <c r="CX38" s="495"/>
      <c r="CY38" s="489"/>
      <c r="CZ38" s="489"/>
      <c r="DA38" s="489"/>
      <c r="DB38" s="489"/>
      <c r="DC38" s="489"/>
      <c r="DD38" s="489"/>
    </row>
    <row r="39" spans="1:108">
      <c r="A39" s="241"/>
      <c r="B39" s="241"/>
      <c r="C39" s="241"/>
      <c r="D39" s="241"/>
      <c r="E39" s="241"/>
      <c r="F39" s="495"/>
      <c r="G39" s="495"/>
      <c r="I39" s="241"/>
      <c r="J39" s="241"/>
      <c r="K39" s="241"/>
      <c r="L39" s="241"/>
      <c r="M39" s="241"/>
      <c r="N39" s="495"/>
      <c r="O39" s="241"/>
      <c r="P39" s="241"/>
      <c r="AJ39" s="495"/>
      <c r="AK39" s="495"/>
      <c r="AL39" s="495"/>
      <c r="AM39" s="495"/>
      <c r="AN39" s="495"/>
      <c r="AO39" s="491"/>
      <c r="AP39" s="495"/>
      <c r="AQ39" s="495"/>
      <c r="AR39" s="495"/>
      <c r="AS39" s="495"/>
      <c r="AT39" s="495"/>
      <c r="AU39" s="495"/>
      <c r="AV39" s="495"/>
      <c r="AW39" s="489"/>
      <c r="AX39" s="489"/>
      <c r="AY39" s="489"/>
      <c r="AZ39" s="489"/>
      <c r="BA39" s="489"/>
      <c r="BB39" s="489"/>
      <c r="BO39" s="495"/>
      <c r="BP39" s="495"/>
      <c r="BQ39" s="495"/>
      <c r="BR39" s="495"/>
      <c r="BS39" s="495"/>
      <c r="BT39" s="491"/>
      <c r="BU39" s="495"/>
      <c r="BV39" s="495"/>
      <c r="BW39" s="495"/>
      <c r="BX39" s="495"/>
      <c r="BY39" s="495"/>
      <c r="BZ39" s="495"/>
      <c r="CA39" s="495"/>
      <c r="CB39" s="489"/>
      <c r="CC39" s="489"/>
      <c r="CD39" s="489"/>
      <c r="CE39" s="489"/>
      <c r="CF39" s="489"/>
      <c r="CG39" s="489"/>
      <c r="CL39" s="495"/>
      <c r="CM39" s="495"/>
      <c r="CN39" s="495"/>
      <c r="CO39" s="495"/>
      <c r="CP39" s="495"/>
      <c r="CQ39" s="491"/>
      <c r="CR39" s="495"/>
      <c r="CS39" s="495"/>
      <c r="CT39" s="495"/>
      <c r="CU39" s="495"/>
      <c r="CV39" s="495"/>
      <c r="CW39" s="495"/>
      <c r="CX39" s="495"/>
      <c r="CY39" s="489"/>
      <c r="CZ39" s="489"/>
      <c r="DA39" s="489"/>
      <c r="DB39" s="489"/>
      <c r="DC39" s="489"/>
      <c r="DD39" s="489"/>
    </row>
    <row r="40" spans="1:108">
      <c r="A40" s="241"/>
      <c r="B40" s="241"/>
      <c r="C40" s="241"/>
      <c r="D40" s="241"/>
      <c r="E40" s="241"/>
      <c r="F40" s="495"/>
      <c r="G40" s="495"/>
      <c r="I40" s="241"/>
      <c r="J40" s="241"/>
      <c r="K40" s="241"/>
      <c r="L40" s="241"/>
      <c r="M40" s="241"/>
      <c r="N40" s="495"/>
      <c r="O40" s="241"/>
      <c r="P40" s="241"/>
      <c r="AJ40" s="495"/>
      <c r="AK40" s="495"/>
      <c r="AL40" s="495"/>
      <c r="AM40" s="495"/>
      <c r="AN40" s="495"/>
      <c r="AO40" s="491"/>
      <c r="AP40" s="495"/>
      <c r="AQ40" s="495"/>
      <c r="AR40" s="495"/>
      <c r="AS40" s="495"/>
      <c r="AT40" s="495"/>
      <c r="AU40" s="495"/>
      <c r="AV40" s="495"/>
      <c r="AW40" s="489"/>
      <c r="AX40" s="489"/>
      <c r="AY40" s="489"/>
      <c r="AZ40" s="489"/>
      <c r="BA40" s="489"/>
      <c r="BB40" s="489"/>
      <c r="BO40" s="495"/>
      <c r="BP40" s="495"/>
      <c r="BQ40" s="495"/>
      <c r="BR40" s="495"/>
      <c r="BS40" s="495"/>
      <c r="BT40" s="491"/>
      <c r="BU40" s="495"/>
      <c r="BV40" s="495"/>
      <c r="BW40" s="495"/>
      <c r="BX40" s="495"/>
      <c r="BY40" s="495"/>
      <c r="BZ40" s="495"/>
      <c r="CA40" s="495"/>
      <c r="CB40" s="489"/>
      <c r="CC40" s="489"/>
      <c r="CD40" s="489"/>
      <c r="CE40" s="489"/>
      <c r="CF40" s="489"/>
      <c r="CG40" s="489"/>
      <c r="CL40" s="495"/>
      <c r="CM40" s="495"/>
      <c r="CN40" s="495"/>
      <c r="CO40" s="495"/>
      <c r="CP40" s="495"/>
      <c r="CQ40" s="491"/>
      <c r="CR40" s="495"/>
      <c r="CS40" s="495"/>
      <c r="CT40" s="495"/>
      <c r="CU40" s="495"/>
      <c r="CV40" s="495"/>
      <c r="CW40" s="495"/>
      <c r="CX40" s="495"/>
      <c r="CY40" s="489"/>
      <c r="CZ40" s="489"/>
      <c r="DA40" s="489"/>
      <c r="DB40" s="489"/>
      <c r="DC40" s="489"/>
      <c r="DD40" s="489"/>
    </row>
    <row r="41" spans="1:108">
      <c r="A41" s="241"/>
      <c r="B41" s="241"/>
      <c r="C41" s="241"/>
      <c r="D41" s="241"/>
      <c r="E41" s="241"/>
      <c r="F41" s="495"/>
      <c r="G41" s="495"/>
      <c r="I41" s="241"/>
      <c r="J41" s="241"/>
      <c r="K41" s="241"/>
      <c r="L41" s="241"/>
      <c r="M41" s="241"/>
      <c r="N41" s="495"/>
      <c r="O41" s="241"/>
      <c r="P41" s="241"/>
      <c r="AJ41" s="495"/>
      <c r="AK41" s="495"/>
      <c r="AL41" s="495"/>
      <c r="AM41" s="495"/>
      <c r="AN41" s="495"/>
      <c r="AO41" s="491"/>
      <c r="AP41" s="495"/>
      <c r="AQ41" s="495"/>
      <c r="AR41" s="495"/>
      <c r="AS41" s="495"/>
      <c r="AT41" s="495"/>
      <c r="AU41" s="495"/>
      <c r="AV41" s="495"/>
      <c r="AW41" s="489"/>
      <c r="AX41" s="489"/>
      <c r="AY41" s="489"/>
      <c r="AZ41" s="489"/>
      <c r="BA41" s="489"/>
      <c r="BB41" s="489"/>
      <c r="BO41" s="495"/>
      <c r="BP41" s="495"/>
      <c r="BQ41" s="495"/>
      <c r="BR41" s="495"/>
      <c r="BS41" s="495"/>
      <c r="BT41" s="491"/>
      <c r="BU41" s="495"/>
      <c r="BV41" s="495"/>
      <c r="BW41" s="495"/>
      <c r="BX41" s="495"/>
      <c r="BY41" s="495"/>
      <c r="BZ41" s="495"/>
      <c r="CA41" s="495"/>
      <c r="CB41" s="489"/>
      <c r="CC41" s="489"/>
      <c r="CD41" s="489"/>
      <c r="CE41" s="489"/>
      <c r="CF41" s="489"/>
      <c r="CG41" s="489"/>
      <c r="CL41" s="495"/>
      <c r="CM41" s="495"/>
      <c r="CN41" s="495"/>
      <c r="CO41" s="495"/>
      <c r="CP41" s="495"/>
      <c r="CQ41" s="491"/>
      <c r="CR41" s="495"/>
      <c r="CS41" s="495"/>
      <c r="CT41" s="495"/>
      <c r="CU41" s="495"/>
      <c r="CV41" s="495"/>
      <c r="CW41" s="495"/>
      <c r="CX41" s="495"/>
      <c r="CY41" s="489"/>
      <c r="CZ41" s="489"/>
      <c r="DA41" s="489"/>
      <c r="DB41" s="489"/>
      <c r="DC41" s="489"/>
      <c r="DD41" s="489"/>
    </row>
    <row r="42" spans="1:108">
      <c r="A42" s="241"/>
      <c r="B42" s="241"/>
      <c r="C42" s="241"/>
      <c r="D42" s="241"/>
      <c r="E42" s="241"/>
      <c r="F42" s="495"/>
      <c r="G42" s="495"/>
      <c r="I42" s="241"/>
      <c r="J42" s="241"/>
      <c r="K42" s="241"/>
      <c r="L42" s="241"/>
      <c r="M42" s="241"/>
      <c r="N42" s="495"/>
      <c r="O42" s="241"/>
      <c r="P42" s="241"/>
      <c r="AJ42" s="495"/>
      <c r="AK42" s="495"/>
      <c r="AL42" s="495"/>
      <c r="AM42" s="495"/>
      <c r="AN42" s="495"/>
      <c r="AO42" s="491"/>
      <c r="AP42" s="495"/>
      <c r="AQ42" s="495"/>
      <c r="AR42" s="495"/>
      <c r="AS42" s="495"/>
      <c r="AT42" s="495"/>
      <c r="AU42" s="495"/>
      <c r="AV42" s="495"/>
      <c r="AW42" s="489"/>
      <c r="AX42" s="489"/>
      <c r="AY42" s="489"/>
      <c r="AZ42" s="489"/>
      <c r="BA42" s="489"/>
      <c r="BB42" s="489"/>
      <c r="BO42" s="495"/>
      <c r="BP42" s="495"/>
      <c r="BQ42" s="495"/>
      <c r="BR42" s="495"/>
      <c r="BS42" s="495"/>
      <c r="BT42" s="491"/>
      <c r="BU42" s="495"/>
      <c r="BV42" s="495"/>
      <c r="BW42" s="495"/>
      <c r="BX42" s="495"/>
      <c r="BY42" s="495"/>
      <c r="BZ42" s="495"/>
      <c r="CA42" s="495"/>
      <c r="CB42" s="489"/>
      <c r="CC42" s="489"/>
      <c r="CD42" s="489"/>
      <c r="CE42" s="489"/>
      <c r="CF42" s="489"/>
      <c r="CG42" s="489"/>
      <c r="CL42" s="495"/>
      <c r="CM42" s="495"/>
      <c r="CN42" s="495"/>
      <c r="CO42" s="495"/>
      <c r="CP42" s="495"/>
      <c r="CQ42" s="491"/>
      <c r="CR42" s="495"/>
      <c r="CS42" s="495"/>
      <c r="CT42" s="495"/>
      <c r="CU42" s="495"/>
      <c r="CV42" s="495"/>
      <c r="CW42" s="495"/>
      <c r="CX42" s="495"/>
      <c r="CY42" s="489"/>
      <c r="CZ42" s="489"/>
      <c r="DA42" s="489"/>
      <c r="DB42" s="489"/>
      <c r="DC42" s="489"/>
      <c r="DD42" s="489"/>
    </row>
    <row r="43" spans="1:108">
      <c r="A43" s="241"/>
      <c r="B43" s="241"/>
      <c r="C43" s="241"/>
      <c r="D43" s="241"/>
      <c r="E43" s="241"/>
      <c r="F43" s="495"/>
      <c r="G43" s="495"/>
      <c r="I43" s="241"/>
      <c r="J43" s="241"/>
      <c r="K43" s="241"/>
      <c r="L43" s="241"/>
      <c r="M43" s="241"/>
      <c r="N43" s="495"/>
      <c r="O43" s="241"/>
      <c r="P43" s="241"/>
      <c r="AJ43" s="495"/>
      <c r="AK43" s="495"/>
      <c r="AL43" s="495"/>
      <c r="AM43" s="495"/>
      <c r="AN43" s="495"/>
      <c r="AO43" s="491"/>
      <c r="AP43" s="495"/>
      <c r="AQ43" s="495"/>
      <c r="AR43" s="495"/>
      <c r="AS43" s="495"/>
      <c r="AT43" s="495"/>
      <c r="AU43" s="495"/>
      <c r="AV43" s="495"/>
      <c r="AW43" s="489"/>
      <c r="AX43" s="489"/>
      <c r="AY43" s="489"/>
      <c r="AZ43" s="489"/>
      <c r="BA43" s="489"/>
      <c r="BB43" s="489"/>
      <c r="BO43" s="495"/>
      <c r="BP43" s="495"/>
      <c r="BQ43" s="495"/>
      <c r="BR43" s="495"/>
      <c r="BS43" s="495"/>
      <c r="BT43" s="491"/>
      <c r="BU43" s="495"/>
      <c r="BV43" s="495"/>
      <c r="BW43" s="495"/>
      <c r="BX43" s="495"/>
      <c r="BY43" s="495"/>
      <c r="BZ43" s="495"/>
      <c r="CA43" s="495"/>
      <c r="CB43" s="489"/>
      <c r="CC43" s="489"/>
      <c r="CD43" s="489"/>
      <c r="CE43" s="489"/>
      <c r="CF43" s="489"/>
      <c r="CG43" s="489"/>
      <c r="CL43" s="495"/>
      <c r="CM43" s="495"/>
      <c r="CN43" s="495"/>
      <c r="CO43" s="495"/>
      <c r="CP43" s="495"/>
      <c r="CQ43" s="491"/>
      <c r="CR43" s="495"/>
      <c r="CS43" s="495"/>
      <c r="CT43" s="495"/>
      <c r="CU43" s="495"/>
      <c r="CV43" s="495"/>
      <c r="CW43" s="495"/>
      <c r="CX43" s="495"/>
      <c r="CY43" s="489"/>
      <c r="CZ43" s="489"/>
      <c r="DA43" s="489"/>
      <c r="DB43" s="489"/>
      <c r="DC43" s="489"/>
      <c r="DD43" s="489"/>
    </row>
    <row r="44" spans="1:108">
      <c r="A44" s="241"/>
      <c r="B44" s="241"/>
      <c r="C44" s="241"/>
      <c r="D44" s="241"/>
      <c r="E44" s="241"/>
      <c r="F44" s="495"/>
      <c r="G44" s="495"/>
      <c r="I44" s="241"/>
      <c r="J44" s="241"/>
      <c r="K44" s="241"/>
      <c r="L44" s="241"/>
      <c r="M44" s="241"/>
      <c r="N44" s="495"/>
      <c r="O44" s="241"/>
      <c r="P44" s="241"/>
      <c r="AJ44" s="495"/>
      <c r="AK44" s="495"/>
      <c r="AL44" s="495"/>
      <c r="AM44" s="495"/>
      <c r="AN44" s="495"/>
      <c r="AO44" s="491"/>
      <c r="AP44" s="495"/>
      <c r="AQ44" s="495"/>
      <c r="AR44" s="495"/>
      <c r="AS44" s="495"/>
      <c r="AT44" s="495"/>
      <c r="AU44" s="495"/>
      <c r="AV44" s="495"/>
      <c r="AW44" s="489"/>
      <c r="AX44" s="489"/>
      <c r="AY44" s="489"/>
      <c r="AZ44" s="489"/>
      <c r="BA44" s="489"/>
      <c r="BB44" s="489"/>
      <c r="BO44" s="495"/>
      <c r="BP44" s="495"/>
      <c r="BQ44" s="495"/>
      <c r="BR44" s="495"/>
      <c r="BS44" s="495"/>
      <c r="BT44" s="491"/>
      <c r="BU44" s="495"/>
      <c r="BV44" s="495"/>
      <c r="BW44" s="495"/>
      <c r="BX44" s="495"/>
      <c r="BY44" s="495"/>
      <c r="BZ44" s="495"/>
      <c r="CA44" s="495"/>
      <c r="CB44" s="489"/>
      <c r="CC44" s="489"/>
      <c r="CD44" s="489"/>
      <c r="CE44" s="489"/>
      <c r="CF44" s="489"/>
      <c r="CG44" s="489"/>
      <c r="CL44" s="495"/>
      <c r="CM44" s="495"/>
      <c r="CN44" s="495"/>
      <c r="CO44" s="495"/>
      <c r="CP44" s="495"/>
      <c r="CQ44" s="491"/>
      <c r="CR44" s="495"/>
      <c r="CS44" s="495"/>
      <c r="CT44" s="495"/>
      <c r="CU44" s="495"/>
      <c r="CV44" s="495"/>
      <c r="CW44" s="495"/>
      <c r="CX44" s="495"/>
      <c r="CY44" s="489"/>
      <c r="CZ44" s="489"/>
      <c r="DA44" s="489"/>
      <c r="DB44" s="489"/>
      <c r="DC44" s="489"/>
      <c r="DD44" s="489"/>
    </row>
    <row r="45" spans="1:108">
      <c r="AJ45" s="489"/>
      <c r="AK45" s="489"/>
      <c r="AL45" s="489"/>
      <c r="AM45" s="489"/>
      <c r="AN45" s="489"/>
      <c r="AO45" s="491"/>
      <c r="AP45" s="489"/>
      <c r="AQ45" s="489"/>
      <c r="AR45" s="489"/>
      <c r="AS45" s="489"/>
      <c r="AT45" s="489"/>
      <c r="AU45" s="489"/>
      <c r="AV45" s="489"/>
      <c r="AW45" s="489"/>
      <c r="AX45" s="489"/>
      <c r="AY45" s="489"/>
      <c r="AZ45" s="489"/>
      <c r="BA45" s="489"/>
      <c r="BB45" s="489"/>
      <c r="BO45" s="489"/>
      <c r="BP45" s="489"/>
      <c r="BQ45" s="489"/>
      <c r="BR45" s="489"/>
      <c r="BS45" s="489"/>
      <c r="BT45" s="491"/>
      <c r="BU45" s="489"/>
      <c r="BV45" s="489"/>
      <c r="BW45" s="489"/>
      <c r="BX45" s="489"/>
      <c r="BY45" s="489"/>
      <c r="BZ45" s="489"/>
      <c r="CA45" s="489"/>
      <c r="CB45" s="489"/>
      <c r="CC45" s="489"/>
      <c r="CD45" s="489"/>
      <c r="CE45" s="489"/>
      <c r="CF45" s="489"/>
      <c r="CG45" s="489"/>
      <c r="CL45" s="489"/>
      <c r="CM45" s="489"/>
      <c r="CN45" s="489"/>
      <c r="CO45" s="489"/>
      <c r="CP45" s="489"/>
      <c r="CQ45" s="491"/>
      <c r="CR45" s="489"/>
      <c r="CS45" s="489"/>
      <c r="CT45" s="489"/>
      <c r="CU45" s="489"/>
      <c r="CV45" s="489"/>
      <c r="CW45" s="489"/>
      <c r="CX45" s="489"/>
      <c r="CY45" s="489"/>
      <c r="CZ45" s="489"/>
      <c r="DA45" s="489"/>
      <c r="DB45" s="489"/>
      <c r="DC45" s="489"/>
      <c r="DD45" s="489"/>
    </row>
    <row r="46" spans="1:108">
      <c r="AJ46" s="489"/>
      <c r="AK46" s="489"/>
      <c r="AL46" s="489"/>
      <c r="AM46" s="489"/>
      <c r="AN46" s="489"/>
      <c r="AO46" s="491"/>
      <c r="AP46" s="489"/>
      <c r="AQ46" s="489"/>
      <c r="AR46" s="489"/>
      <c r="AS46" s="489"/>
      <c r="AT46" s="489"/>
      <c r="AU46" s="489"/>
      <c r="AV46" s="489"/>
      <c r="AW46" s="489"/>
      <c r="AX46" s="489"/>
      <c r="AY46" s="489"/>
      <c r="AZ46" s="489"/>
      <c r="BA46" s="489"/>
      <c r="BB46" s="489"/>
      <c r="BO46" s="489"/>
      <c r="BP46" s="489"/>
      <c r="BQ46" s="489"/>
      <c r="BR46" s="489"/>
      <c r="BS46" s="489"/>
      <c r="BT46" s="491"/>
      <c r="BU46" s="489"/>
      <c r="BV46" s="489"/>
      <c r="BW46" s="489"/>
      <c r="BX46" s="489"/>
      <c r="BY46" s="489"/>
      <c r="BZ46" s="489"/>
      <c r="CA46" s="489"/>
      <c r="CB46" s="489"/>
      <c r="CC46" s="489"/>
      <c r="CD46" s="489"/>
      <c r="CE46" s="489"/>
      <c r="CF46" s="489"/>
      <c r="CG46" s="489"/>
      <c r="CL46" s="489"/>
      <c r="CM46" s="489"/>
      <c r="CN46" s="489"/>
      <c r="CO46" s="489"/>
      <c r="CP46" s="489"/>
      <c r="CQ46" s="491"/>
      <c r="CR46" s="489"/>
      <c r="CS46" s="489"/>
      <c r="CT46" s="489"/>
      <c r="CU46" s="489"/>
      <c r="CV46" s="489"/>
      <c r="CW46" s="489"/>
      <c r="CX46" s="489"/>
      <c r="CY46" s="489"/>
      <c r="CZ46" s="489"/>
      <c r="DA46" s="489"/>
      <c r="DB46" s="489"/>
      <c r="DC46" s="489"/>
      <c r="DD46" s="489"/>
    </row>
    <row r="47" spans="1:108">
      <c r="AJ47" s="489"/>
      <c r="AK47" s="489"/>
      <c r="AL47" s="489"/>
      <c r="AM47" s="489"/>
      <c r="AN47" s="489"/>
      <c r="AO47" s="491"/>
      <c r="AP47" s="489"/>
      <c r="AQ47" s="489"/>
      <c r="AR47" s="489"/>
      <c r="AS47" s="489"/>
      <c r="AT47" s="489"/>
      <c r="AU47" s="489"/>
      <c r="AV47" s="489"/>
      <c r="AW47" s="489"/>
      <c r="AX47" s="489"/>
      <c r="AY47" s="489"/>
      <c r="AZ47" s="489"/>
      <c r="BA47" s="489"/>
      <c r="BB47" s="489"/>
      <c r="BO47" s="489"/>
      <c r="BP47" s="489"/>
      <c r="BQ47" s="489"/>
      <c r="BR47" s="489"/>
      <c r="BS47" s="489"/>
      <c r="BT47" s="491"/>
      <c r="BU47" s="489"/>
      <c r="BV47" s="489"/>
      <c r="BW47" s="489"/>
      <c r="BX47" s="489"/>
      <c r="BY47" s="489"/>
      <c r="BZ47" s="489"/>
      <c r="CA47" s="489"/>
      <c r="CB47" s="489"/>
      <c r="CC47" s="489"/>
      <c r="CD47" s="489"/>
      <c r="CE47" s="489"/>
      <c r="CF47" s="489"/>
      <c r="CG47" s="489"/>
      <c r="CL47" s="489"/>
      <c r="CM47" s="489"/>
      <c r="CN47" s="489"/>
      <c r="CO47" s="489"/>
      <c r="CP47" s="489"/>
      <c r="CQ47" s="491"/>
      <c r="CR47" s="489"/>
      <c r="CS47" s="489"/>
      <c r="CT47" s="489"/>
      <c r="CU47" s="489"/>
      <c r="CV47" s="489"/>
      <c r="CW47" s="489"/>
      <c r="CX47" s="489"/>
      <c r="CY47" s="489"/>
      <c r="CZ47" s="489"/>
      <c r="DA47" s="489"/>
      <c r="DB47" s="489"/>
      <c r="DC47" s="489"/>
      <c r="DD47" s="489"/>
    </row>
    <row r="48" spans="1:108">
      <c r="AJ48" s="489"/>
      <c r="AK48" s="489"/>
      <c r="AL48" s="489"/>
      <c r="AM48" s="489"/>
      <c r="AN48" s="489"/>
      <c r="AO48" s="491"/>
      <c r="AP48" s="489"/>
      <c r="AQ48" s="489"/>
      <c r="AR48" s="489"/>
      <c r="AS48" s="489"/>
      <c r="AT48" s="489"/>
      <c r="AU48" s="489"/>
      <c r="AV48" s="489"/>
      <c r="AW48" s="489"/>
      <c r="AX48" s="489"/>
      <c r="AY48" s="489"/>
      <c r="AZ48" s="489"/>
      <c r="BA48" s="489"/>
      <c r="BB48" s="489"/>
      <c r="BO48" s="489"/>
      <c r="BP48" s="489"/>
      <c r="BQ48" s="489"/>
      <c r="BR48" s="489"/>
      <c r="BS48" s="489"/>
      <c r="BT48" s="491"/>
      <c r="BU48" s="489"/>
      <c r="BV48" s="489"/>
      <c r="BW48" s="489"/>
      <c r="BX48" s="489"/>
      <c r="BY48" s="489"/>
      <c r="BZ48" s="489"/>
      <c r="CA48" s="489"/>
      <c r="CB48" s="489"/>
      <c r="CC48" s="489"/>
      <c r="CD48" s="489"/>
      <c r="CE48" s="489"/>
      <c r="CF48" s="489"/>
      <c r="CG48" s="489"/>
      <c r="CL48" s="489"/>
      <c r="CM48" s="489"/>
      <c r="CN48" s="489"/>
      <c r="CO48" s="489"/>
      <c r="CP48" s="489"/>
      <c r="CQ48" s="491"/>
      <c r="CR48" s="489"/>
      <c r="CS48" s="489"/>
      <c r="CT48" s="489"/>
      <c r="CU48" s="489"/>
      <c r="CV48" s="489"/>
      <c r="CW48" s="489"/>
      <c r="CX48" s="489"/>
      <c r="CY48" s="489"/>
      <c r="CZ48" s="489"/>
      <c r="DA48" s="489"/>
      <c r="DB48" s="489"/>
      <c r="DC48" s="489"/>
      <c r="DD48" s="489"/>
    </row>
    <row r="49" spans="36:108">
      <c r="AJ49" s="489"/>
      <c r="AK49" s="489"/>
      <c r="AL49" s="489"/>
      <c r="AM49" s="489"/>
      <c r="AN49" s="489"/>
      <c r="AO49" s="491"/>
      <c r="AP49" s="489"/>
      <c r="AQ49" s="489"/>
      <c r="AR49" s="489"/>
      <c r="AS49" s="489"/>
      <c r="AT49" s="489"/>
      <c r="AU49" s="489"/>
      <c r="AV49" s="489"/>
      <c r="AW49" s="489"/>
      <c r="AX49" s="489"/>
      <c r="AY49" s="489"/>
      <c r="AZ49" s="489"/>
      <c r="BA49" s="489"/>
      <c r="BB49" s="489"/>
      <c r="BO49" s="489"/>
      <c r="BP49" s="489"/>
      <c r="BQ49" s="489"/>
      <c r="BR49" s="489"/>
      <c r="BS49" s="489"/>
      <c r="BT49" s="491"/>
      <c r="BU49" s="489"/>
      <c r="BV49" s="489"/>
      <c r="BW49" s="489"/>
      <c r="BX49" s="489"/>
      <c r="BY49" s="489"/>
      <c r="BZ49" s="489"/>
      <c r="CA49" s="489"/>
      <c r="CB49" s="489"/>
      <c r="CC49" s="489"/>
      <c r="CD49" s="489"/>
      <c r="CE49" s="489"/>
      <c r="CF49" s="489"/>
      <c r="CG49" s="489"/>
      <c r="CL49" s="489"/>
      <c r="CM49" s="489"/>
      <c r="CN49" s="489"/>
      <c r="CO49" s="489"/>
      <c r="CP49" s="489"/>
      <c r="CQ49" s="491"/>
      <c r="CR49" s="489"/>
      <c r="CS49" s="489"/>
      <c r="CT49" s="489"/>
      <c r="CU49" s="489"/>
      <c r="CV49" s="489"/>
      <c r="CW49" s="489"/>
      <c r="CX49" s="489"/>
      <c r="CY49" s="489"/>
      <c r="CZ49" s="489"/>
      <c r="DA49" s="489"/>
      <c r="DB49" s="489"/>
      <c r="DC49" s="489"/>
      <c r="DD49" s="489"/>
    </row>
    <row r="50" spans="36:108">
      <c r="AJ50" s="489"/>
      <c r="AK50" s="489"/>
      <c r="AL50" s="489"/>
      <c r="AM50" s="489"/>
      <c r="AN50" s="489"/>
      <c r="AO50" s="491"/>
      <c r="AP50" s="489"/>
      <c r="AQ50" s="489"/>
      <c r="AR50" s="489"/>
      <c r="AS50" s="489"/>
      <c r="AT50" s="489"/>
      <c r="AU50" s="489"/>
      <c r="AV50" s="489"/>
      <c r="AW50" s="489"/>
      <c r="AX50" s="489"/>
      <c r="AY50" s="489"/>
      <c r="AZ50" s="489"/>
      <c r="BA50" s="489"/>
      <c r="BB50" s="489"/>
      <c r="BO50" s="489"/>
      <c r="BP50" s="489"/>
      <c r="BQ50" s="489"/>
      <c r="BR50" s="489"/>
      <c r="BS50" s="489"/>
      <c r="BT50" s="491"/>
      <c r="BU50" s="489"/>
      <c r="BV50" s="489"/>
      <c r="BW50" s="489"/>
      <c r="BX50" s="489"/>
      <c r="BY50" s="489"/>
      <c r="BZ50" s="489"/>
      <c r="CA50" s="489"/>
      <c r="CB50" s="489"/>
      <c r="CC50" s="489"/>
      <c r="CD50" s="489"/>
      <c r="CE50" s="489"/>
      <c r="CF50" s="489"/>
      <c r="CG50" s="489"/>
      <c r="CL50" s="489"/>
      <c r="CM50" s="489"/>
      <c r="CN50" s="489"/>
      <c r="CO50" s="489"/>
      <c r="CP50" s="489"/>
      <c r="CQ50" s="491"/>
      <c r="CR50" s="489"/>
      <c r="CS50" s="489"/>
      <c r="CT50" s="489"/>
      <c r="CU50" s="489"/>
      <c r="CV50" s="489"/>
      <c r="CW50" s="489"/>
      <c r="CX50" s="489"/>
      <c r="CY50" s="489"/>
      <c r="CZ50" s="489"/>
      <c r="DA50" s="489"/>
      <c r="DB50" s="489"/>
      <c r="DC50" s="489"/>
      <c r="DD50" s="489"/>
    </row>
    <row r="51" spans="36:108">
      <c r="AJ51" s="489"/>
      <c r="AK51" s="489"/>
      <c r="AL51" s="489"/>
      <c r="AM51" s="489"/>
      <c r="AN51" s="489"/>
      <c r="AO51" s="491"/>
      <c r="AP51" s="489"/>
      <c r="AQ51" s="489"/>
      <c r="AR51" s="489"/>
      <c r="AS51" s="489"/>
      <c r="AT51" s="489"/>
      <c r="AU51" s="489"/>
      <c r="AV51" s="489"/>
      <c r="AW51" s="489"/>
      <c r="AX51" s="489"/>
      <c r="AY51" s="489"/>
      <c r="AZ51" s="489"/>
      <c r="BA51" s="489"/>
      <c r="BB51" s="489"/>
      <c r="BO51" s="489"/>
      <c r="BP51" s="489"/>
      <c r="BQ51" s="489"/>
      <c r="BR51" s="489"/>
      <c r="BS51" s="489"/>
      <c r="BT51" s="491"/>
      <c r="BU51" s="489"/>
      <c r="BV51" s="489"/>
      <c r="BW51" s="489"/>
      <c r="BX51" s="489"/>
      <c r="BY51" s="489"/>
      <c r="BZ51" s="489"/>
      <c r="CA51" s="489"/>
      <c r="CB51" s="489"/>
      <c r="CC51" s="489"/>
      <c r="CD51" s="489"/>
      <c r="CE51" s="489"/>
      <c r="CF51" s="489"/>
      <c r="CG51" s="489"/>
      <c r="CL51" s="489"/>
      <c r="CM51" s="489"/>
      <c r="CN51" s="489"/>
      <c r="CO51" s="489"/>
      <c r="CP51" s="489"/>
      <c r="CQ51" s="491"/>
      <c r="CR51" s="489"/>
      <c r="CS51" s="489"/>
      <c r="CT51" s="489"/>
      <c r="CU51" s="489"/>
      <c r="CV51" s="489"/>
      <c r="CW51" s="489"/>
      <c r="CX51" s="489"/>
      <c r="CY51" s="489"/>
      <c r="CZ51" s="489"/>
      <c r="DA51" s="489"/>
      <c r="DB51" s="489"/>
      <c r="DC51" s="489"/>
      <c r="DD51" s="489"/>
    </row>
    <row r="52" spans="36:108">
      <c r="AJ52" s="489"/>
      <c r="AK52" s="489"/>
      <c r="AL52" s="489"/>
      <c r="AM52" s="489"/>
      <c r="AN52" s="489"/>
      <c r="AO52" s="491"/>
      <c r="AP52" s="489"/>
      <c r="AQ52" s="489"/>
      <c r="AR52" s="489"/>
      <c r="AS52" s="489"/>
      <c r="AT52" s="489"/>
      <c r="AU52" s="489"/>
      <c r="AV52" s="489"/>
      <c r="AW52" s="489"/>
      <c r="AX52" s="489"/>
      <c r="AY52" s="489"/>
      <c r="AZ52" s="489"/>
      <c r="BA52" s="489"/>
      <c r="BB52" s="489"/>
      <c r="BO52" s="489"/>
      <c r="BP52" s="489"/>
      <c r="BQ52" s="489"/>
      <c r="BR52" s="489"/>
      <c r="BS52" s="489"/>
      <c r="BT52" s="491"/>
      <c r="BU52" s="489"/>
      <c r="BV52" s="489"/>
      <c r="BW52" s="489"/>
      <c r="BX52" s="489"/>
      <c r="BY52" s="489"/>
      <c r="BZ52" s="489"/>
      <c r="CA52" s="489"/>
      <c r="CB52" s="489"/>
      <c r="CC52" s="489"/>
      <c r="CD52" s="489"/>
      <c r="CE52" s="489"/>
      <c r="CF52" s="489"/>
      <c r="CG52" s="489"/>
      <c r="CL52" s="489"/>
      <c r="CM52" s="489"/>
      <c r="CN52" s="489"/>
      <c r="CO52" s="489"/>
      <c r="CP52" s="489"/>
      <c r="CQ52" s="491"/>
      <c r="CR52" s="489"/>
      <c r="CS52" s="489"/>
      <c r="CT52" s="489"/>
      <c r="CU52" s="489"/>
      <c r="CV52" s="489"/>
      <c r="CW52" s="489"/>
      <c r="CX52" s="489"/>
      <c r="CY52" s="489"/>
      <c r="CZ52" s="489"/>
      <c r="DA52" s="489"/>
      <c r="DB52" s="489"/>
      <c r="DC52" s="489"/>
      <c r="DD52" s="489"/>
    </row>
    <row r="53" spans="36:108">
      <c r="AJ53" s="489"/>
      <c r="AK53" s="489"/>
      <c r="AL53" s="489"/>
      <c r="AM53" s="489"/>
      <c r="AN53" s="489"/>
      <c r="AO53" s="491"/>
      <c r="AP53" s="489"/>
      <c r="AQ53" s="489"/>
      <c r="AR53" s="489"/>
      <c r="AS53" s="489"/>
      <c r="AT53" s="489"/>
      <c r="AU53" s="489"/>
      <c r="AV53" s="489"/>
      <c r="AW53" s="489"/>
      <c r="AX53" s="489"/>
      <c r="AY53" s="489"/>
      <c r="AZ53" s="489"/>
      <c r="BA53" s="489"/>
      <c r="BB53" s="489"/>
      <c r="BO53" s="489"/>
      <c r="BP53" s="489"/>
      <c r="BQ53" s="489"/>
      <c r="BR53" s="489"/>
      <c r="BS53" s="489"/>
      <c r="BT53" s="491"/>
      <c r="BU53" s="489"/>
      <c r="BV53" s="489"/>
      <c r="BW53" s="489"/>
      <c r="BX53" s="489"/>
      <c r="BY53" s="489"/>
      <c r="BZ53" s="489"/>
      <c r="CA53" s="489"/>
      <c r="CB53" s="489"/>
      <c r="CC53" s="489"/>
      <c r="CD53" s="489"/>
      <c r="CE53" s="489"/>
      <c r="CF53" s="489"/>
      <c r="CG53" s="489"/>
      <c r="CL53" s="489"/>
      <c r="CM53" s="489"/>
      <c r="CN53" s="489"/>
      <c r="CO53" s="489"/>
      <c r="CP53" s="489"/>
      <c r="CQ53" s="491"/>
      <c r="CR53" s="489"/>
      <c r="CS53" s="489"/>
      <c r="CT53" s="489"/>
      <c r="CU53" s="489"/>
      <c r="CV53" s="489"/>
      <c r="CW53" s="489"/>
      <c r="CX53" s="489"/>
      <c r="CY53" s="489"/>
      <c r="CZ53" s="489"/>
      <c r="DA53" s="489"/>
      <c r="DB53" s="489"/>
      <c r="DC53" s="489"/>
      <c r="DD53" s="489"/>
    </row>
    <row r="54" spans="36:108">
      <c r="AJ54" s="489"/>
      <c r="AK54" s="489"/>
      <c r="AL54" s="489"/>
      <c r="AM54" s="489"/>
      <c r="AN54" s="489"/>
      <c r="AO54" s="491"/>
      <c r="AP54" s="489"/>
      <c r="AQ54" s="489"/>
      <c r="AR54" s="489"/>
      <c r="AS54" s="489"/>
      <c r="AT54" s="489"/>
      <c r="AU54" s="489"/>
      <c r="AV54" s="489"/>
      <c r="AW54" s="489"/>
      <c r="AX54" s="489"/>
      <c r="AY54" s="489"/>
      <c r="AZ54" s="489"/>
      <c r="BA54" s="489"/>
      <c r="BB54" s="489"/>
      <c r="BO54" s="489"/>
      <c r="BP54" s="489"/>
      <c r="BQ54" s="489"/>
      <c r="BR54" s="489"/>
      <c r="BS54" s="489"/>
      <c r="BT54" s="491"/>
      <c r="BU54" s="489"/>
      <c r="BV54" s="489"/>
      <c r="BW54" s="489"/>
      <c r="BX54" s="489"/>
      <c r="BY54" s="489"/>
      <c r="BZ54" s="489"/>
      <c r="CA54" s="489"/>
      <c r="CB54" s="489"/>
      <c r="CC54" s="489"/>
      <c r="CD54" s="489"/>
      <c r="CE54" s="489"/>
      <c r="CF54" s="489"/>
      <c r="CG54" s="489"/>
      <c r="CL54" s="489"/>
      <c r="CM54" s="489"/>
      <c r="CN54" s="489"/>
      <c r="CO54" s="489"/>
      <c r="CP54" s="489"/>
      <c r="CQ54" s="491"/>
      <c r="CR54" s="489"/>
      <c r="CS54" s="489"/>
      <c r="CT54" s="489"/>
      <c r="CU54" s="489"/>
      <c r="CV54" s="489"/>
      <c r="CW54" s="489"/>
      <c r="CX54" s="489"/>
      <c r="CY54" s="489"/>
      <c r="CZ54" s="489"/>
      <c r="DA54" s="489"/>
      <c r="DB54" s="489"/>
      <c r="DC54" s="489"/>
      <c r="DD54" s="489"/>
    </row>
    <row r="55" spans="36:108">
      <c r="AJ55" s="489"/>
      <c r="AK55" s="489"/>
      <c r="AL55" s="489"/>
      <c r="AM55" s="489"/>
      <c r="AN55" s="489"/>
      <c r="AO55" s="491"/>
      <c r="AP55" s="489"/>
      <c r="AQ55" s="489"/>
      <c r="AR55" s="489"/>
      <c r="AS55" s="489"/>
      <c r="AT55" s="489"/>
      <c r="AU55" s="489"/>
      <c r="AV55" s="489"/>
      <c r="AW55" s="489"/>
      <c r="AX55" s="489"/>
      <c r="AY55" s="489"/>
      <c r="AZ55" s="489"/>
      <c r="BA55" s="489"/>
      <c r="BB55" s="489"/>
      <c r="BO55" s="489"/>
      <c r="BP55" s="489"/>
      <c r="BQ55" s="489"/>
      <c r="BR55" s="489"/>
      <c r="BS55" s="489"/>
      <c r="BT55" s="491"/>
      <c r="BU55" s="489"/>
      <c r="BV55" s="489"/>
      <c r="BW55" s="489"/>
      <c r="BX55" s="489"/>
      <c r="BY55" s="489"/>
      <c r="BZ55" s="489"/>
      <c r="CA55" s="489"/>
      <c r="CB55" s="489"/>
      <c r="CC55" s="489"/>
      <c r="CD55" s="489"/>
      <c r="CE55" s="489"/>
      <c r="CF55" s="489"/>
      <c r="CG55" s="489"/>
      <c r="CL55" s="489"/>
      <c r="CM55" s="489"/>
      <c r="CN55" s="489"/>
      <c r="CO55" s="489"/>
      <c r="CP55" s="489"/>
      <c r="CQ55" s="491"/>
      <c r="CR55" s="489"/>
      <c r="CS55" s="489"/>
      <c r="CT55" s="489"/>
      <c r="CU55" s="489"/>
      <c r="CV55" s="489"/>
      <c r="CW55" s="489"/>
      <c r="CX55" s="489"/>
      <c r="CY55" s="489"/>
      <c r="CZ55" s="489"/>
      <c r="DA55" s="489"/>
      <c r="DB55" s="489"/>
      <c r="DC55" s="489"/>
      <c r="DD55" s="489"/>
    </row>
    <row r="56" spans="36:108">
      <c r="AJ56" s="489"/>
      <c r="AK56" s="489"/>
      <c r="AL56" s="489"/>
      <c r="AM56" s="489"/>
      <c r="AN56" s="489"/>
      <c r="AO56" s="491"/>
      <c r="AP56" s="489"/>
      <c r="AQ56" s="489"/>
      <c r="AR56" s="489"/>
      <c r="AS56" s="489"/>
      <c r="AT56" s="489"/>
      <c r="AU56" s="489"/>
      <c r="AV56" s="489"/>
      <c r="AW56" s="489"/>
      <c r="AX56" s="489"/>
      <c r="AY56" s="489"/>
      <c r="AZ56" s="489"/>
      <c r="BA56" s="489"/>
      <c r="BB56" s="489"/>
      <c r="BO56" s="489"/>
      <c r="BP56" s="489"/>
      <c r="BQ56" s="489"/>
      <c r="BR56" s="489"/>
      <c r="BS56" s="489"/>
      <c r="BT56" s="491"/>
      <c r="BU56" s="489"/>
      <c r="BV56" s="489"/>
      <c r="BW56" s="489"/>
      <c r="BX56" s="489"/>
      <c r="BY56" s="489"/>
      <c r="BZ56" s="489"/>
      <c r="CA56" s="489"/>
      <c r="CB56" s="489"/>
      <c r="CC56" s="489"/>
      <c r="CD56" s="489"/>
      <c r="CE56" s="489"/>
      <c r="CF56" s="489"/>
      <c r="CG56" s="489"/>
      <c r="CL56" s="489"/>
      <c r="CM56" s="489"/>
      <c r="CN56" s="489"/>
      <c r="CO56" s="489"/>
      <c r="CP56" s="489"/>
      <c r="CQ56" s="491"/>
      <c r="CR56" s="489"/>
      <c r="CS56" s="489"/>
      <c r="CT56" s="489"/>
      <c r="CU56" s="489"/>
      <c r="CV56" s="489"/>
      <c r="CW56" s="489"/>
      <c r="CX56" s="489"/>
      <c r="CY56" s="489"/>
      <c r="CZ56" s="489"/>
      <c r="DA56" s="489"/>
      <c r="DB56" s="489"/>
      <c r="DC56" s="489"/>
      <c r="DD56" s="489"/>
    </row>
    <row r="57" spans="36:108">
      <c r="AJ57" s="489"/>
      <c r="AK57" s="489"/>
      <c r="AL57" s="489"/>
      <c r="AM57" s="489"/>
      <c r="AN57" s="489"/>
      <c r="AO57" s="491"/>
      <c r="AP57" s="489"/>
      <c r="AQ57" s="489"/>
      <c r="AR57" s="489"/>
      <c r="AS57" s="489"/>
      <c r="AT57" s="489"/>
      <c r="AU57" s="489"/>
      <c r="AV57" s="489"/>
      <c r="AW57" s="489"/>
      <c r="AX57" s="489"/>
      <c r="AY57" s="489"/>
      <c r="AZ57" s="489"/>
      <c r="BA57" s="489"/>
      <c r="BB57" s="489"/>
      <c r="BO57" s="489"/>
      <c r="BP57" s="489"/>
      <c r="BQ57" s="489"/>
      <c r="BR57" s="489"/>
      <c r="BS57" s="489"/>
      <c r="BT57" s="491"/>
      <c r="BU57" s="489"/>
      <c r="BV57" s="489"/>
      <c r="BW57" s="489"/>
      <c r="BX57" s="489"/>
      <c r="BY57" s="489"/>
      <c r="BZ57" s="489"/>
      <c r="CA57" s="489"/>
      <c r="CB57" s="489"/>
      <c r="CC57" s="489"/>
      <c r="CD57" s="489"/>
      <c r="CE57" s="489"/>
      <c r="CF57" s="489"/>
      <c r="CG57" s="489"/>
      <c r="CL57" s="489"/>
      <c r="CM57" s="489"/>
      <c r="CN57" s="489"/>
      <c r="CO57" s="489"/>
      <c r="CP57" s="489"/>
      <c r="CQ57" s="491"/>
      <c r="CR57" s="489"/>
      <c r="CS57" s="489"/>
      <c r="CT57" s="489"/>
      <c r="CU57" s="489"/>
      <c r="CV57" s="489"/>
      <c r="CW57" s="489"/>
      <c r="CX57" s="489"/>
      <c r="CY57" s="489"/>
      <c r="CZ57" s="489"/>
      <c r="DA57" s="489"/>
      <c r="DB57" s="489"/>
      <c r="DC57" s="489"/>
      <c r="DD57" s="489"/>
    </row>
    <row r="58" spans="36:108">
      <c r="AJ58" s="489"/>
      <c r="AK58" s="489"/>
      <c r="AL58" s="489"/>
      <c r="AM58" s="489"/>
      <c r="AN58" s="489"/>
      <c r="AO58" s="491"/>
      <c r="AP58" s="489"/>
      <c r="AQ58" s="489"/>
      <c r="AR58" s="489"/>
      <c r="AS58" s="489"/>
      <c r="AT58" s="489"/>
      <c r="AU58" s="489"/>
      <c r="AV58" s="489"/>
      <c r="AW58" s="489"/>
      <c r="AX58" s="489"/>
      <c r="AY58" s="489"/>
      <c r="AZ58" s="489"/>
      <c r="BA58" s="489"/>
      <c r="BB58" s="489"/>
      <c r="BO58" s="489"/>
      <c r="BP58" s="489"/>
      <c r="BQ58" s="489"/>
      <c r="BR58" s="489"/>
      <c r="BS58" s="489"/>
      <c r="BT58" s="491"/>
      <c r="BU58" s="489"/>
      <c r="BV58" s="489"/>
      <c r="BW58" s="489"/>
      <c r="BX58" s="489"/>
      <c r="BY58" s="489"/>
      <c r="BZ58" s="489"/>
      <c r="CA58" s="489"/>
      <c r="CB58" s="489"/>
      <c r="CC58" s="489"/>
      <c r="CD58" s="489"/>
      <c r="CE58" s="489"/>
      <c r="CF58" s="489"/>
      <c r="CG58" s="489"/>
      <c r="CL58" s="489"/>
      <c r="CM58" s="489"/>
      <c r="CN58" s="489"/>
      <c r="CO58" s="489"/>
      <c r="CP58" s="489"/>
      <c r="CQ58" s="491"/>
      <c r="CR58" s="489"/>
      <c r="CS58" s="489"/>
      <c r="CT58" s="489"/>
      <c r="CU58" s="489"/>
      <c r="CV58" s="489"/>
      <c r="CW58" s="489"/>
      <c r="CX58" s="489"/>
      <c r="CY58" s="489"/>
      <c r="CZ58" s="489"/>
      <c r="DA58" s="489"/>
      <c r="DB58" s="489"/>
      <c r="DC58" s="489"/>
      <c r="DD58" s="489"/>
    </row>
    <row r="59" spans="36:108">
      <c r="AJ59" s="489"/>
      <c r="AK59" s="489"/>
      <c r="AL59" s="489"/>
      <c r="AM59" s="489"/>
      <c r="AN59" s="489"/>
      <c r="AO59" s="491"/>
      <c r="AP59" s="489"/>
      <c r="AQ59" s="489"/>
      <c r="AR59" s="489"/>
      <c r="AS59" s="489"/>
      <c r="AT59" s="489"/>
      <c r="AU59" s="489"/>
      <c r="AV59" s="489"/>
      <c r="AW59" s="489"/>
      <c r="AX59" s="489"/>
      <c r="AY59" s="489"/>
      <c r="AZ59" s="489"/>
      <c r="BA59" s="489"/>
      <c r="BB59" s="489"/>
      <c r="BO59" s="489"/>
      <c r="BP59" s="489"/>
      <c r="BQ59" s="489"/>
      <c r="BR59" s="489"/>
      <c r="BS59" s="489"/>
      <c r="BT59" s="491"/>
      <c r="BU59" s="489"/>
      <c r="BV59" s="489"/>
      <c r="BW59" s="489"/>
      <c r="BX59" s="489"/>
      <c r="BY59" s="489"/>
      <c r="BZ59" s="489"/>
      <c r="CA59" s="489"/>
      <c r="CB59" s="489"/>
      <c r="CC59" s="489"/>
      <c r="CD59" s="489"/>
      <c r="CE59" s="489"/>
      <c r="CF59" s="489"/>
      <c r="CG59" s="489"/>
      <c r="CL59" s="489"/>
      <c r="CM59" s="489"/>
      <c r="CN59" s="489"/>
      <c r="CO59" s="489"/>
      <c r="CP59" s="489"/>
      <c r="CQ59" s="491"/>
      <c r="CR59" s="489"/>
      <c r="CS59" s="489"/>
      <c r="CT59" s="489"/>
      <c r="CU59" s="489"/>
      <c r="CV59" s="489"/>
      <c r="CW59" s="489"/>
      <c r="CX59" s="489"/>
      <c r="CY59" s="489"/>
      <c r="CZ59" s="489"/>
      <c r="DA59" s="489"/>
      <c r="DB59" s="489"/>
      <c r="DC59" s="489"/>
      <c r="DD59" s="489"/>
    </row>
    <row r="60" spans="36:108">
      <c r="AJ60" s="489"/>
      <c r="AK60" s="489"/>
      <c r="AL60" s="489"/>
      <c r="AM60" s="489"/>
      <c r="AN60" s="489"/>
      <c r="AO60" s="491"/>
      <c r="AP60" s="489"/>
      <c r="AQ60" s="489"/>
      <c r="AR60" s="489"/>
      <c r="AS60" s="489"/>
      <c r="AT60" s="489"/>
      <c r="AU60" s="489"/>
      <c r="AV60" s="489"/>
      <c r="AW60" s="489"/>
      <c r="AX60" s="489"/>
      <c r="AY60" s="489"/>
      <c r="AZ60" s="489"/>
      <c r="BA60" s="489"/>
      <c r="BB60" s="489"/>
      <c r="BO60" s="489"/>
      <c r="BP60" s="489"/>
      <c r="BQ60" s="489"/>
      <c r="BR60" s="489"/>
      <c r="BS60" s="489"/>
      <c r="BT60" s="491"/>
      <c r="BU60" s="489"/>
      <c r="BV60" s="489"/>
      <c r="BW60" s="489"/>
      <c r="BX60" s="489"/>
      <c r="BY60" s="489"/>
      <c r="BZ60" s="489"/>
      <c r="CA60" s="489"/>
      <c r="CB60" s="489"/>
      <c r="CC60" s="489"/>
      <c r="CD60" s="489"/>
      <c r="CE60" s="489"/>
      <c r="CF60" s="489"/>
      <c r="CG60" s="489"/>
      <c r="CL60" s="489"/>
      <c r="CM60" s="489"/>
      <c r="CN60" s="489"/>
      <c r="CO60" s="489"/>
      <c r="CP60" s="489"/>
      <c r="CQ60" s="491"/>
      <c r="CR60" s="489"/>
      <c r="CS60" s="489"/>
      <c r="CT60" s="489"/>
      <c r="CU60" s="489"/>
      <c r="CV60" s="489"/>
      <c r="CW60" s="489"/>
      <c r="CX60" s="489"/>
      <c r="CY60" s="489"/>
      <c r="CZ60" s="489"/>
      <c r="DA60" s="489"/>
      <c r="DB60" s="489"/>
      <c r="DC60" s="489"/>
      <c r="DD60" s="489"/>
    </row>
    <row r="61" spans="36:108">
      <c r="AJ61" s="489"/>
      <c r="AK61" s="489"/>
      <c r="AL61" s="489"/>
      <c r="AM61" s="489"/>
      <c r="AN61" s="489"/>
      <c r="AO61" s="491"/>
      <c r="AP61" s="489"/>
      <c r="AQ61" s="489"/>
      <c r="AR61" s="489"/>
      <c r="AS61" s="489"/>
      <c r="AT61" s="489"/>
      <c r="AU61" s="489"/>
      <c r="AV61" s="489"/>
      <c r="AW61" s="489"/>
      <c r="AX61" s="489"/>
      <c r="AY61" s="489"/>
      <c r="AZ61" s="489"/>
      <c r="BA61" s="489"/>
      <c r="BB61" s="489"/>
      <c r="BO61" s="489"/>
      <c r="BP61" s="489"/>
      <c r="BQ61" s="489"/>
      <c r="BR61" s="489"/>
      <c r="BS61" s="489"/>
      <c r="BT61" s="491"/>
      <c r="BU61" s="489"/>
      <c r="BV61" s="489"/>
      <c r="BW61" s="489"/>
      <c r="BX61" s="489"/>
      <c r="BY61" s="489"/>
      <c r="BZ61" s="489"/>
      <c r="CA61" s="489"/>
      <c r="CB61" s="489"/>
      <c r="CC61" s="489"/>
      <c r="CD61" s="489"/>
      <c r="CE61" s="489"/>
      <c r="CF61" s="489"/>
      <c r="CG61" s="489"/>
      <c r="CL61" s="489"/>
      <c r="CM61" s="489"/>
      <c r="CN61" s="489"/>
      <c r="CO61" s="489"/>
      <c r="CP61" s="489"/>
      <c r="CQ61" s="491"/>
      <c r="CR61" s="489"/>
      <c r="CS61" s="489"/>
      <c r="CT61" s="489"/>
      <c r="CU61" s="489"/>
      <c r="CV61" s="489"/>
      <c r="CW61" s="489"/>
      <c r="CX61" s="489"/>
      <c r="CY61" s="489"/>
      <c r="CZ61" s="489"/>
      <c r="DA61" s="489"/>
      <c r="DB61" s="489"/>
      <c r="DC61" s="489"/>
      <c r="DD61" s="489"/>
    </row>
    <row r="62" spans="36:108">
      <c r="AJ62" s="489"/>
      <c r="AK62" s="489"/>
      <c r="AL62" s="489"/>
      <c r="AM62" s="489"/>
      <c r="AN62" s="489"/>
      <c r="AO62" s="491"/>
      <c r="AP62" s="489"/>
      <c r="AQ62" s="489"/>
      <c r="AR62" s="489"/>
      <c r="AS62" s="489"/>
      <c r="AT62" s="489"/>
      <c r="AU62" s="489"/>
      <c r="AV62" s="489"/>
      <c r="AW62" s="489"/>
      <c r="AX62" s="489"/>
      <c r="AY62" s="489"/>
      <c r="AZ62" s="489"/>
      <c r="BA62" s="489"/>
      <c r="BB62" s="489"/>
      <c r="BO62" s="489"/>
      <c r="BP62" s="489"/>
      <c r="BQ62" s="489"/>
      <c r="BR62" s="489"/>
      <c r="BS62" s="489"/>
      <c r="BT62" s="491"/>
      <c r="BU62" s="489"/>
      <c r="BV62" s="489"/>
      <c r="BW62" s="489"/>
      <c r="BX62" s="489"/>
      <c r="BY62" s="489"/>
      <c r="BZ62" s="489"/>
      <c r="CA62" s="489"/>
      <c r="CB62" s="489"/>
      <c r="CC62" s="489"/>
      <c r="CD62" s="489"/>
      <c r="CE62" s="489"/>
      <c r="CF62" s="489"/>
      <c r="CG62" s="489"/>
      <c r="CL62" s="489"/>
      <c r="CM62" s="489"/>
      <c r="CN62" s="489"/>
      <c r="CO62" s="489"/>
      <c r="CP62" s="489"/>
      <c r="CQ62" s="491"/>
      <c r="CR62" s="489"/>
      <c r="CS62" s="489"/>
      <c r="CT62" s="489"/>
      <c r="CU62" s="489"/>
      <c r="CV62" s="489"/>
      <c r="CW62" s="489"/>
      <c r="CX62" s="489"/>
      <c r="CY62" s="489"/>
      <c r="CZ62" s="489"/>
      <c r="DA62" s="489"/>
      <c r="DB62" s="489"/>
      <c r="DC62" s="489"/>
      <c r="DD62" s="489"/>
    </row>
    <row r="63" spans="36:108">
      <c r="AJ63" s="489"/>
      <c r="AK63" s="489"/>
      <c r="AL63" s="489"/>
      <c r="AM63" s="489"/>
      <c r="AN63" s="489"/>
      <c r="AO63" s="491"/>
      <c r="AP63" s="489"/>
      <c r="AQ63" s="489"/>
      <c r="AR63" s="489"/>
      <c r="AS63" s="489"/>
      <c r="AT63" s="489"/>
      <c r="AU63" s="489"/>
      <c r="AV63" s="489"/>
      <c r="AW63" s="489"/>
      <c r="AX63" s="489"/>
      <c r="AY63" s="489"/>
      <c r="AZ63" s="489"/>
      <c r="BA63" s="489"/>
      <c r="BB63" s="489"/>
      <c r="BO63" s="489"/>
      <c r="BP63" s="489"/>
      <c r="BQ63" s="489"/>
      <c r="BR63" s="489"/>
      <c r="BS63" s="489"/>
      <c r="BT63" s="491"/>
      <c r="BU63" s="489"/>
      <c r="BV63" s="489"/>
      <c r="BW63" s="489"/>
      <c r="BX63" s="489"/>
      <c r="BY63" s="489"/>
      <c r="BZ63" s="489"/>
      <c r="CA63" s="489"/>
      <c r="CB63" s="489"/>
      <c r="CC63" s="489"/>
      <c r="CD63" s="489"/>
      <c r="CE63" s="489"/>
      <c r="CF63" s="489"/>
      <c r="CG63" s="489"/>
      <c r="CL63" s="489"/>
      <c r="CM63" s="489"/>
      <c r="CN63" s="489"/>
      <c r="CO63" s="489"/>
      <c r="CP63" s="489"/>
      <c r="CQ63" s="491"/>
      <c r="CR63" s="489"/>
      <c r="CS63" s="489"/>
      <c r="CT63" s="489"/>
      <c r="CU63" s="489"/>
      <c r="CV63" s="489"/>
      <c r="CW63" s="489"/>
      <c r="CX63" s="489"/>
      <c r="CY63" s="489"/>
      <c r="CZ63" s="489"/>
      <c r="DA63" s="489"/>
      <c r="DB63" s="489"/>
      <c r="DC63" s="489"/>
      <c r="DD63" s="489"/>
    </row>
    <row r="64" spans="36:108">
      <c r="AJ64" s="489"/>
      <c r="AK64" s="489"/>
      <c r="AL64" s="489"/>
      <c r="AM64" s="489"/>
      <c r="AN64" s="489"/>
      <c r="AO64" s="491"/>
      <c r="AP64" s="489"/>
      <c r="AQ64" s="489"/>
      <c r="AR64" s="489"/>
      <c r="AS64" s="489"/>
      <c r="AT64" s="489"/>
      <c r="AU64" s="489"/>
      <c r="AV64" s="489"/>
      <c r="AW64" s="489"/>
      <c r="AX64" s="489"/>
      <c r="AY64" s="489"/>
      <c r="AZ64" s="489"/>
      <c r="BA64" s="489"/>
      <c r="BB64" s="489"/>
      <c r="BO64" s="489"/>
      <c r="BP64" s="489"/>
      <c r="BQ64" s="489"/>
      <c r="BR64" s="489"/>
      <c r="BS64" s="489"/>
      <c r="BT64" s="491"/>
      <c r="BU64" s="489"/>
      <c r="BV64" s="489"/>
      <c r="BW64" s="489"/>
      <c r="BX64" s="489"/>
      <c r="BY64" s="489"/>
      <c r="BZ64" s="489"/>
      <c r="CA64" s="489"/>
      <c r="CB64" s="489"/>
      <c r="CC64" s="489"/>
      <c r="CD64" s="489"/>
      <c r="CE64" s="489"/>
      <c r="CF64" s="489"/>
      <c r="CG64" s="489"/>
      <c r="CL64" s="489"/>
      <c r="CM64" s="489"/>
      <c r="CN64" s="489"/>
      <c r="CO64" s="489"/>
      <c r="CP64" s="489"/>
      <c r="CQ64" s="491"/>
      <c r="CR64" s="489"/>
      <c r="CS64" s="489"/>
      <c r="CT64" s="489"/>
      <c r="CU64" s="489"/>
      <c r="CV64" s="489"/>
      <c r="CW64" s="489"/>
      <c r="CX64" s="489"/>
      <c r="CY64" s="489"/>
      <c r="CZ64" s="489"/>
      <c r="DA64" s="489"/>
      <c r="DB64" s="489"/>
      <c r="DC64" s="489"/>
      <c r="DD64" s="489"/>
    </row>
    <row r="65" spans="36:108">
      <c r="AJ65" s="489"/>
      <c r="AK65" s="489"/>
      <c r="AL65" s="489"/>
      <c r="AM65" s="489"/>
      <c r="AN65" s="489"/>
      <c r="AO65" s="491"/>
      <c r="AP65" s="489"/>
      <c r="AQ65" s="489"/>
      <c r="AR65" s="489"/>
      <c r="AS65" s="489"/>
      <c r="AT65" s="489"/>
      <c r="AU65" s="489"/>
      <c r="AV65" s="489"/>
      <c r="AW65" s="489"/>
      <c r="AX65" s="489"/>
      <c r="AY65" s="489"/>
      <c r="AZ65" s="489"/>
      <c r="BA65" s="489"/>
      <c r="BB65" s="489"/>
      <c r="BO65" s="489"/>
      <c r="BP65" s="489"/>
      <c r="BQ65" s="489"/>
      <c r="BR65" s="489"/>
      <c r="BS65" s="489"/>
      <c r="BT65" s="491"/>
      <c r="BU65" s="489"/>
      <c r="BV65" s="489"/>
      <c r="BW65" s="489"/>
      <c r="BX65" s="489"/>
      <c r="BY65" s="489"/>
      <c r="BZ65" s="489"/>
      <c r="CA65" s="489"/>
      <c r="CB65" s="489"/>
      <c r="CC65" s="489"/>
      <c r="CD65" s="489"/>
      <c r="CE65" s="489"/>
      <c r="CF65" s="489"/>
      <c r="CG65" s="489"/>
      <c r="CL65" s="489"/>
      <c r="CM65" s="489"/>
      <c r="CN65" s="489"/>
      <c r="CO65" s="489"/>
      <c r="CP65" s="489"/>
      <c r="CQ65" s="491"/>
      <c r="CR65" s="489"/>
      <c r="CS65" s="489"/>
      <c r="CT65" s="489"/>
      <c r="CU65" s="489"/>
      <c r="CV65" s="489"/>
      <c r="CW65" s="489"/>
      <c r="CX65" s="489"/>
      <c r="CY65" s="489"/>
      <c r="CZ65" s="489"/>
      <c r="DA65" s="489"/>
      <c r="DB65" s="489"/>
      <c r="DC65" s="489"/>
      <c r="DD65" s="489"/>
    </row>
    <row r="66" spans="36:108">
      <c r="AJ66" s="489"/>
      <c r="AK66" s="489"/>
      <c r="AL66" s="489"/>
      <c r="AM66" s="489"/>
      <c r="AN66" s="489"/>
      <c r="AO66" s="491"/>
      <c r="AP66" s="489"/>
      <c r="AQ66" s="489"/>
      <c r="AR66" s="489"/>
      <c r="AS66" s="489"/>
      <c r="AT66" s="489"/>
      <c r="AU66" s="489"/>
      <c r="AV66" s="489"/>
      <c r="AW66" s="489"/>
      <c r="AX66" s="489"/>
      <c r="AY66" s="489"/>
      <c r="AZ66" s="489"/>
      <c r="BA66" s="489"/>
      <c r="BB66" s="489"/>
      <c r="BO66" s="489"/>
      <c r="BP66" s="489"/>
      <c r="BQ66" s="489"/>
      <c r="BR66" s="489"/>
      <c r="BS66" s="489"/>
      <c r="BT66" s="491"/>
      <c r="BU66" s="489"/>
      <c r="BV66" s="489"/>
      <c r="BW66" s="489"/>
      <c r="BX66" s="489"/>
      <c r="BY66" s="489"/>
      <c r="BZ66" s="489"/>
      <c r="CA66" s="489"/>
      <c r="CB66" s="489"/>
      <c r="CC66" s="489"/>
      <c r="CD66" s="489"/>
      <c r="CE66" s="489"/>
      <c r="CF66" s="489"/>
      <c r="CG66" s="489"/>
      <c r="CL66" s="489"/>
      <c r="CM66" s="489"/>
      <c r="CN66" s="489"/>
      <c r="CO66" s="489"/>
      <c r="CP66" s="489"/>
      <c r="CQ66" s="491"/>
      <c r="CR66" s="489"/>
      <c r="CS66" s="489"/>
      <c r="CT66" s="489"/>
      <c r="CU66" s="489"/>
      <c r="CV66" s="489"/>
      <c r="CW66" s="489"/>
      <c r="CX66" s="489"/>
      <c r="CY66" s="489"/>
      <c r="CZ66" s="489"/>
      <c r="DA66" s="489"/>
      <c r="DB66" s="489"/>
      <c r="DC66" s="489"/>
      <c r="DD66" s="489"/>
    </row>
    <row r="67" spans="36:108">
      <c r="AJ67" s="489"/>
      <c r="AK67" s="489"/>
      <c r="AL67" s="489"/>
      <c r="AM67" s="489"/>
      <c r="AN67" s="489"/>
      <c r="AO67" s="491"/>
      <c r="AP67" s="489"/>
      <c r="AQ67" s="489"/>
      <c r="AR67" s="489"/>
      <c r="AS67" s="489"/>
      <c r="AT67" s="489"/>
      <c r="AU67" s="489"/>
      <c r="AV67" s="489"/>
      <c r="AW67" s="489"/>
      <c r="AX67" s="489"/>
      <c r="AY67" s="489"/>
      <c r="AZ67" s="489"/>
      <c r="BA67" s="489"/>
      <c r="BB67" s="489"/>
      <c r="BO67" s="489"/>
      <c r="BP67" s="489"/>
      <c r="BQ67" s="489"/>
      <c r="BR67" s="489"/>
      <c r="BS67" s="489"/>
      <c r="BT67" s="491"/>
      <c r="BU67" s="489"/>
      <c r="BV67" s="489"/>
      <c r="BW67" s="489"/>
      <c r="BX67" s="489"/>
      <c r="BY67" s="489"/>
      <c r="BZ67" s="489"/>
      <c r="CA67" s="489"/>
      <c r="CB67" s="489"/>
      <c r="CC67" s="489"/>
      <c r="CD67" s="489"/>
      <c r="CE67" s="489"/>
      <c r="CF67" s="489"/>
      <c r="CG67" s="489"/>
      <c r="CL67" s="489"/>
      <c r="CM67" s="489"/>
      <c r="CN67" s="489"/>
      <c r="CO67" s="489"/>
      <c r="CP67" s="489"/>
      <c r="CQ67" s="491"/>
      <c r="CR67" s="489"/>
      <c r="CS67" s="489"/>
      <c r="CT67" s="489"/>
      <c r="CU67" s="489"/>
      <c r="CV67" s="489"/>
      <c r="CW67" s="489"/>
      <c r="CX67" s="489"/>
      <c r="CY67" s="489"/>
      <c r="CZ67" s="489"/>
      <c r="DA67" s="489"/>
      <c r="DB67" s="489"/>
      <c r="DC67" s="489"/>
      <c r="DD67" s="489"/>
    </row>
    <row r="68" spans="36:108">
      <c r="AJ68" s="489"/>
      <c r="AK68" s="489"/>
      <c r="AL68" s="489"/>
      <c r="AM68" s="489"/>
      <c r="AN68" s="489"/>
      <c r="AO68" s="491"/>
      <c r="AP68" s="489"/>
      <c r="AQ68" s="489"/>
      <c r="AR68" s="489"/>
      <c r="AS68" s="489"/>
      <c r="AT68" s="489"/>
      <c r="AU68" s="489"/>
      <c r="AV68" s="489"/>
      <c r="AW68" s="489"/>
      <c r="AX68" s="489"/>
      <c r="AY68" s="489"/>
      <c r="AZ68" s="489"/>
      <c r="BA68" s="489"/>
      <c r="BB68" s="489"/>
      <c r="BO68" s="489"/>
      <c r="BP68" s="489"/>
      <c r="BQ68" s="489"/>
      <c r="BR68" s="489"/>
      <c r="BS68" s="489"/>
      <c r="BT68" s="491"/>
      <c r="BU68" s="489"/>
      <c r="BV68" s="489"/>
      <c r="BW68" s="489"/>
      <c r="BX68" s="489"/>
      <c r="BY68" s="489"/>
      <c r="BZ68" s="489"/>
      <c r="CA68" s="489"/>
      <c r="CB68" s="489"/>
      <c r="CC68" s="489"/>
      <c r="CD68" s="489"/>
      <c r="CE68" s="489"/>
      <c r="CF68" s="489"/>
      <c r="CG68" s="489"/>
      <c r="CL68" s="489"/>
      <c r="CM68" s="489"/>
      <c r="CN68" s="489"/>
      <c r="CO68" s="489"/>
      <c r="CP68" s="489"/>
      <c r="CQ68" s="491"/>
      <c r="CR68" s="489"/>
      <c r="CS68" s="489"/>
      <c r="CT68" s="489"/>
      <c r="CU68" s="489"/>
      <c r="CV68" s="489"/>
      <c r="CW68" s="489"/>
      <c r="CX68" s="489"/>
      <c r="CY68" s="489"/>
      <c r="CZ68" s="489"/>
      <c r="DA68" s="489"/>
      <c r="DB68" s="489"/>
      <c r="DC68" s="489"/>
      <c r="DD68" s="489"/>
    </row>
    <row r="69" spans="36:108">
      <c r="AJ69" s="489"/>
      <c r="AK69" s="489"/>
      <c r="AL69" s="489"/>
      <c r="AM69" s="489"/>
      <c r="AN69" s="489"/>
      <c r="AO69" s="491"/>
      <c r="AP69" s="489"/>
      <c r="AQ69" s="489"/>
      <c r="AR69" s="489"/>
      <c r="AS69" s="489"/>
      <c r="AT69" s="489"/>
      <c r="AU69" s="489"/>
      <c r="AV69" s="489"/>
      <c r="AW69" s="489"/>
      <c r="AX69" s="489"/>
      <c r="AY69" s="489"/>
      <c r="AZ69" s="489"/>
      <c r="BA69" s="489"/>
      <c r="BB69" s="489"/>
      <c r="BO69" s="489"/>
      <c r="BP69" s="489"/>
      <c r="BQ69" s="489"/>
      <c r="BR69" s="489"/>
      <c r="BS69" s="489"/>
      <c r="BT69" s="491"/>
      <c r="BU69" s="489"/>
      <c r="BV69" s="489"/>
      <c r="BW69" s="489"/>
      <c r="BX69" s="489"/>
      <c r="BY69" s="489"/>
      <c r="BZ69" s="489"/>
      <c r="CA69" s="489"/>
      <c r="CB69" s="489"/>
      <c r="CC69" s="489"/>
      <c r="CD69" s="489"/>
      <c r="CE69" s="489"/>
      <c r="CF69" s="489"/>
      <c r="CG69" s="489"/>
      <c r="CL69" s="489"/>
      <c r="CM69" s="489"/>
      <c r="CN69" s="489"/>
      <c r="CO69" s="489"/>
      <c r="CP69" s="489"/>
      <c r="CQ69" s="491"/>
      <c r="CR69" s="489"/>
      <c r="CS69" s="489"/>
      <c r="CT69" s="489"/>
      <c r="CU69" s="489"/>
      <c r="CV69" s="489"/>
      <c r="CW69" s="489"/>
      <c r="CX69" s="489"/>
      <c r="CY69" s="489"/>
      <c r="CZ69" s="489"/>
      <c r="DA69" s="489"/>
      <c r="DB69" s="489"/>
      <c r="DC69" s="489"/>
      <c r="DD69" s="489"/>
    </row>
    <row r="70" spans="36:108">
      <c r="AJ70" s="489"/>
      <c r="AK70" s="489"/>
      <c r="AL70" s="489"/>
      <c r="AM70" s="489"/>
      <c r="AN70" s="489"/>
      <c r="AO70" s="491"/>
      <c r="AP70" s="489"/>
      <c r="AQ70" s="489"/>
      <c r="AR70" s="489"/>
      <c r="AS70" s="489"/>
      <c r="AT70" s="489"/>
      <c r="AU70" s="489"/>
      <c r="AV70" s="489"/>
      <c r="AW70" s="489"/>
      <c r="AX70" s="489"/>
      <c r="AY70" s="489"/>
      <c r="AZ70" s="489"/>
      <c r="BA70" s="489"/>
      <c r="BB70" s="489"/>
      <c r="BO70" s="489"/>
      <c r="BP70" s="489"/>
      <c r="BQ70" s="489"/>
      <c r="BR70" s="489"/>
      <c r="BS70" s="489"/>
      <c r="BT70" s="491"/>
      <c r="BU70" s="489"/>
      <c r="BV70" s="489"/>
      <c r="BW70" s="489"/>
      <c r="BX70" s="489"/>
      <c r="BY70" s="489"/>
      <c r="BZ70" s="489"/>
      <c r="CA70" s="489"/>
      <c r="CB70" s="489"/>
      <c r="CC70" s="489"/>
      <c r="CD70" s="489"/>
      <c r="CE70" s="489"/>
      <c r="CF70" s="489"/>
      <c r="CG70" s="489"/>
      <c r="CL70" s="489"/>
      <c r="CM70" s="489"/>
      <c r="CN70" s="489"/>
      <c r="CO70" s="489"/>
      <c r="CP70" s="489"/>
      <c r="CQ70" s="491"/>
      <c r="CR70" s="489"/>
      <c r="CS70" s="489"/>
      <c r="CT70" s="489"/>
      <c r="CU70" s="489"/>
      <c r="CV70" s="489"/>
      <c r="CW70" s="489"/>
      <c r="CX70" s="489"/>
      <c r="CY70" s="489"/>
      <c r="CZ70" s="489"/>
      <c r="DA70" s="489"/>
      <c r="DB70" s="489"/>
      <c r="DC70" s="489"/>
      <c r="DD70" s="489"/>
    </row>
    <row r="71" spans="36:108">
      <c r="AJ71" s="489"/>
      <c r="AK71" s="489"/>
      <c r="AL71" s="489"/>
      <c r="AM71" s="489"/>
      <c r="AN71" s="489"/>
      <c r="AO71" s="491"/>
      <c r="AP71" s="489"/>
      <c r="AQ71" s="489"/>
      <c r="AR71" s="489"/>
      <c r="AS71" s="489"/>
      <c r="AT71" s="489"/>
      <c r="AU71" s="489"/>
      <c r="AV71" s="489"/>
      <c r="AW71" s="489"/>
      <c r="AX71" s="489"/>
      <c r="AY71" s="489"/>
      <c r="AZ71" s="489"/>
      <c r="BA71" s="489"/>
      <c r="BB71" s="489"/>
      <c r="BO71" s="489"/>
      <c r="BP71" s="489"/>
      <c r="BQ71" s="489"/>
      <c r="BR71" s="489"/>
      <c r="BS71" s="489"/>
      <c r="BT71" s="491"/>
      <c r="BU71" s="489"/>
      <c r="BV71" s="489"/>
      <c r="BW71" s="489"/>
      <c r="BX71" s="489"/>
      <c r="BY71" s="489"/>
      <c r="BZ71" s="489"/>
      <c r="CA71" s="489"/>
      <c r="CB71" s="489"/>
      <c r="CC71" s="489"/>
      <c r="CD71" s="489"/>
      <c r="CE71" s="489"/>
      <c r="CF71" s="489"/>
      <c r="CG71" s="489"/>
      <c r="CL71" s="489"/>
      <c r="CM71" s="489"/>
      <c r="CN71" s="489"/>
      <c r="CO71" s="489"/>
      <c r="CP71" s="489"/>
      <c r="CQ71" s="491"/>
      <c r="CR71" s="489"/>
      <c r="CS71" s="489"/>
      <c r="CT71" s="489"/>
      <c r="CU71" s="489"/>
      <c r="CV71" s="489"/>
      <c r="CW71" s="489"/>
      <c r="CX71" s="489"/>
      <c r="CY71" s="489"/>
      <c r="CZ71" s="489"/>
      <c r="DA71" s="489"/>
      <c r="DB71" s="489"/>
      <c r="DC71" s="489"/>
      <c r="DD71" s="489"/>
    </row>
    <row r="72" spans="36:108">
      <c r="AJ72" s="489"/>
      <c r="AK72" s="489"/>
      <c r="AL72" s="489"/>
      <c r="AM72" s="489"/>
      <c r="AN72" s="489"/>
      <c r="AO72" s="491"/>
      <c r="AP72" s="489"/>
      <c r="AQ72" s="489"/>
      <c r="AR72" s="489"/>
      <c r="AS72" s="489"/>
      <c r="AT72" s="489"/>
      <c r="AU72" s="489"/>
      <c r="AV72" s="489"/>
      <c r="AW72" s="489"/>
      <c r="AX72" s="489"/>
      <c r="AY72" s="489"/>
      <c r="AZ72" s="489"/>
      <c r="BA72" s="489"/>
      <c r="BB72" s="489"/>
      <c r="BO72" s="489"/>
      <c r="BP72" s="489"/>
      <c r="BQ72" s="489"/>
      <c r="BR72" s="489"/>
      <c r="BS72" s="489"/>
      <c r="BT72" s="491"/>
      <c r="BU72" s="489"/>
      <c r="BV72" s="489"/>
      <c r="BW72" s="489"/>
      <c r="BX72" s="489"/>
      <c r="BY72" s="489"/>
      <c r="BZ72" s="489"/>
      <c r="CA72" s="489"/>
      <c r="CB72" s="489"/>
      <c r="CC72" s="489"/>
      <c r="CD72" s="489"/>
      <c r="CE72" s="489"/>
      <c r="CF72" s="489"/>
      <c r="CG72" s="489"/>
      <c r="CL72" s="489"/>
      <c r="CM72" s="489"/>
      <c r="CN72" s="489"/>
      <c r="CO72" s="489"/>
      <c r="CP72" s="489"/>
      <c r="CQ72" s="491"/>
      <c r="CR72" s="489"/>
      <c r="CS72" s="489"/>
      <c r="CT72" s="489"/>
      <c r="CU72" s="489"/>
      <c r="CV72" s="489"/>
      <c r="CW72" s="489"/>
      <c r="CX72" s="489"/>
      <c r="CY72" s="489"/>
      <c r="CZ72" s="489"/>
      <c r="DA72" s="489"/>
      <c r="DB72" s="489"/>
      <c r="DC72" s="489"/>
      <c r="DD72" s="489"/>
    </row>
    <row r="73" spans="36:108">
      <c r="AJ73" s="489"/>
      <c r="AK73" s="489"/>
      <c r="AL73" s="489"/>
      <c r="AM73" s="489"/>
      <c r="AN73" s="489"/>
      <c r="AO73" s="491"/>
      <c r="AP73" s="489"/>
      <c r="AQ73" s="489"/>
      <c r="AR73" s="489"/>
      <c r="AS73" s="489"/>
      <c r="AT73" s="489"/>
      <c r="AU73" s="489"/>
      <c r="AV73" s="489"/>
      <c r="AW73" s="489"/>
      <c r="AX73" s="489"/>
      <c r="AY73" s="489"/>
      <c r="AZ73" s="489"/>
      <c r="BA73" s="489"/>
      <c r="BB73" s="489"/>
      <c r="BO73" s="489"/>
      <c r="BP73" s="489"/>
      <c r="BQ73" s="489"/>
      <c r="BR73" s="489"/>
      <c r="BS73" s="489"/>
      <c r="BT73" s="491"/>
      <c r="BU73" s="489"/>
      <c r="BV73" s="489"/>
      <c r="BW73" s="489"/>
      <c r="BX73" s="489"/>
      <c r="BY73" s="489"/>
      <c r="BZ73" s="489"/>
      <c r="CA73" s="489"/>
      <c r="CB73" s="489"/>
      <c r="CC73" s="489"/>
      <c r="CD73" s="489"/>
      <c r="CE73" s="489"/>
      <c r="CF73" s="489"/>
      <c r="CG73" s="489"/>
      <c r="CL73" s="489"/>
      <c r="CM73" s="489"/>
      <c r="CN73" s="489"/>
      <c r="CO73" s="489"/>
      <c r="CP73" s="489"/>
      <c r="CQ73" s="491"/>
      <c r="CR73" s="489"/>
      <c r="CS73" s="489"/>
      <c r="CT73" s="489"/>
      <c r="CU73" s="489"/>
      <c r="CV73" s="489"/>
      <c r="CW73" s="489"/>
      <c r="CX73" s="489"/>
      <c r="CY73" s="489"/>
      <c r="CZ73" s="489"/>
      <c r="DA73" s="489"/>
      <c r="DB73" s="489"/>
      <c r="DC73" s="489"/>
      <c r="DD73" s="489"/>
    </row>
    <row r="74" spans="36:108">
      <c r="AJ74" s="489"/>
      <c r="AK74" s="489"/>
      <c r="AL74" s="489"/>
      <c r="AM74" s="489"/>
      <c r="AN74" s="489"/>
      <c r="AO74" s="491"/>
      <c r="AP74" s="489"/>
      <c r="AQ74" s="489"/>
      <c r="AR74" s="489"/>
      <c r="AS74" s="489"/>
      <c r="AT74" s="489"/>
      <c r="AU74" s="489"/>
      <c r="AV74" s="489"/>
      <c r="AW74" s="489"/>
      <c r="AX74" s="489"/>
      <c r="AY74" s="489"/>
      <c r="AZ74" s="489"/>
      <c r="BA74" s="489"/>
      <c r="BB74" s="489"/>
      <c r="BO74" s="489"/>
      <c r="BP74" s="489"/>
      <c r="BQ74" s="489"/>
      <c r="BR74" s="489"/>
      <c r="BS74" s="489"/>
      <c r="BT74" s="491"/>
      <c r="BU74" s="489"/>
      <c r="BV74" s="489"/>
      <c r="BW74" s="489"/>
      <c r="BX74" s="489"/>
      <c r="BY74" s="489"/>
      <c r="BZ74" s="489"/>
      <c r="CA74" s="489"/>
      <c r="CB74" s="489"/>
      <c r="CC74" s="489"/>
      <c r="CD74" s="489"/>
      <c r="CE74" s="489"/>
      <c r="CF74" s="489"/>
      <c r="CG74" s="489"/>
      <c r="CL74" s="489"/>
      <c r="CM74" s="489"/>
      <c r="CN74" s="489"/>
      <c r="CO74" s="489"/>
      <c r="CP74" s="489"/>
      <c r="CQ74" s="491"/>
      <c r="CR74" s="489"/>
      <c r="CS74" s="489"/>
      <c r="CT74" s="489"/>
      <c r="CU74" s="489"/>
      <c r="CV74" s="489"/>
      <c r="CW74" s="489"/>
      <c r="CX74" s="489"/>
      <c r="CY74" s="489"/>
      <c r="CZ74" s="489"/>
      <c r="DA74" s="489"/>
      <c r="DB74" s="489"/>
      <c r="DC74" s="489"/>
      <c r="DD74" s="489"/>
    </row>
    <row r="75" spans="36:108">
      <c r="AJ75" s="489"/>
      <c r="AK75" s="489"/>
      <c r="AL75" s="489"/>
      <c r="AM75" s="489"/>
      <c r="AN75" s="489"/>
      <c r="AO75" s="491"/>
      <c r="AP75" s="489"/>
      <c r="AQ75" s="489"/>
      <c r="AR75" s="489"/>
      <c r="AS75" s="489"/>
      <c r="AT75" s="489"/>
      <c r="AU75" s="489"/>
      <c r="AV75" s="489"/>
      <c r="AW75" s="489"/>
      <c r="AX75" s="489"/>
      <c r="AY75" s="489"/>
      <c r="AZ75" s="489"/>
      <c r="BA75" s="489"/>
      <c r="BB75" s="489"/>
      <c r="BO75" s="489"/>
      <c r="BP75" s="489"/>
      <c r="BQ75" s="489"/>
      <c r="BR75" s="489"/>
      <c r="BS75" s="489"/>
      <c r="BT75" s="491"/>
      <c r="BU75" s="489"/>
      <c r="BV75" s="489"/>
      <c r="BW75" s="489"/>
      <c r="BX75" s="489"/>
      <c r="BY75" s="489"/>
      <c r="BZ75" s="489"/>
      <c r="CA75" s="489"/>
      <c r="CB75" s="489"/>
      <c r="CC75" s="489"/>
      <c r="CD75" s="489"/>
      <c r="CE75" s="489"/>
      <c r="CF75" s="489"/>
      <c r="CG75" s="489"/>
      <c r="CL75" s="489"/>
      <c r="CM75" s="489"/>
      <c r="CN75" s="489"/>
      <c r="CO75" s="489"/>
      <c r="CP75" s="489"/>
      <c r="CQ75" s="491"/>
      <c r="CR75" s="489"/>
      <c r="CS75" s="489"/>
      <c r="CT75" s="489"/>
      <c r="CU75" s="489"/>
      <c r="CV75" s="489"/>
      <c r="CW75" s="489"/>
      <c r="CX75" s="489"/>
      <c r="CY75" s="489"/>
      <c r="CZ75" s="489"/>
      <c r="DA75" s="489"/>
      <c r="DB75" s="489"/>
      <c r="DC75" s="489"/>
      <c r="DD75" s="489"/>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tint="0.79998168889431442"/>
  </sheetPr>
  <dimension ref="B2:Z112"/>
  <sheetViews>
    <sheetView topLeftCell="G1" zoomScaleNormal="100" workbookViewId="0">
      <selection activeCell="P6" sqref="P6"/>
    </sheetView>
    <sheetView topLeftCell="E1" workbookViewId="1">
      <selection activeCell="P6" sqref="P6"/>
    </sheetView>
  </sheetViews>
  <sheetFormatPr defaultRowHeight="15"/>
  <cols>
    <col min="1" max="3" width="5.25" style="358" customWidth="1"/>
    <col min="4" max="4" width="22.75" style="358" customWidth="1"/>
    <col min="5" max="5" width="16.5" style="358" customWidth="1"/>
    <col min="6" max="6" width="13.375" style="358" customWidth="1"/>
    <col min="7" max="7" width="11.25" style="358" customWidth="1"/>
    <col min="8" max="8" width="16.375" style="358" customWidth="1"/>
    <col min="9" max="9" width="16.375" style="358" bestFit="1" customWidth="1"/>
    <col min="10" max="10" width="11.875" style="358" customWidth="1"/>
    <col min="11" max="11" width="21.5" style="358" customWidth="1"/>
    <col min="12" max="12" width="15.75" style="358" customWidth="1"/>
    <col min="13" max="13" width="12.125" style="358" customWidth="1"/>
    <col min="14" max="14" width="10.5" style="358" customWidth="1"/>
    <col min="15" max="15" width="13.375" style="358" customWidth="1"/>
    <col min="16" max="16" width="14.125" style="358" customWidth="1"/>
    <col min="17" max="17" width="10.375" style="358" customWidth="1"/>
    <col min="18" max="18" width="15.5" style="358" customWidth="1"/>
    <col min="19" max="19" width="15" style="358" customWidth="1"/>
    <col min="20" max="20" width="14.75" style="358" customWidth="1"/>
    <col min="21" max="21" width="7.375" style="358" customWidth="1"/>
    <col min="22" max="22" width="15.5" style="358" customWidth="1"/>
    <col min="23" max="23" width="15" style="358" customWidth="1"/>
    <col min="24" max="24" width="14.75" style="358" customWidth="1"/>
    <col min="25" max="25" width="14.125" style="358" customWidth="1"/>
    <col min="26" max="26" width="21.75" style="358" customWidth="1"/>
    <col min="27" max="27" width="9" style="358"/>
    <col min="28" max="30" width="6.25" style="358" customWidth="1"/>
    <col min="31" max="31" width="9" style="358"/>
    <col min="32" max="33" width="9.5" style="358" bestFit="1" customWidth="1"/>
    <col min="34" max="16384" width="9" style="358"/>
  </cols>
  <sheetData>
    <row r="2" spans="2:26" ht="18">
      <c r="B2" s="840" t="s">
        <v>916</v>
      </c>
      <c r="C2" s="841"/>
      <c r="D2" s="841"/>
      <c r="E2" s="841"/>
      <c r="F2" s="841"/>
      <c r="G2" s="1107" t="str">
        <f ca="1">IF(J25=J26,"ABPs held by one owner only. Work around being used. DOB &amp; Sex made the same. Refer R5 &amp; R6","")</f>
        <v>ABPs held by one owner only. Work around being used. DOB &amp; Sex made the same. Refer R5 &amp; R6</v>
      </c>
      <c r="H2" s="841"/>
      <c r="I2" s="841"/>
      <c r="J2" s="841"/>
      <c r="K2" s="841"/>
      <c r="L2" s="841"/>
      <c r="M2" s="841"/>
      <c r="N2" s="841"/>
      <c r="O2" s="841"/>
      <c r="P2" s="841"/>
      <c r="Q2" s="841"/>
      <c r="R2" s="841"/>
      <c r="S2" s="841"/>
      <c r="T2" s="841"/>
      <c r="U2" s="841"/>
      <c r="V2" s="841"/>
      <c r="W2" s="841"/>
      <c r="X2" s="841"/>
      <c r="Y2" s="841"/>
      <c r="Z2" s="841"/>
    </row>
    <row r="3" spans="2:26">
      <c r="B3" s="368"/>
      <c r="C3" s="368"/>
      <c r="D3" s="368"/>
      <c r="E3" s="368"/>
      <c r="F3" s="368"/>
      <c r="G3" s="368"/>
      <c r="H3" s="368"/>
      <c r="I3" s="368"/>
      <c r="J3" s="368"/>
      <c r="K3" s="368"/>
      <c r="L3" s="368"/>
      <c r="M3" s="368"/>
      <c r="N3" s="368"/>
      <c r="O3" s="368"/>
      <c r="P3" s="368"/>
      <c r="Q3" s="368"/>
      <c r="R3" s="368"/>
      <c r="S3" s="368"/>
      <c r="T3" s="368"/>
      <c r="U3" s="368"/>
      <c r="V3" s="368"/>
      <c r="W3" s="368"/>
      <c r="X3" s="368"/>
      <c r="Y3" s="368"/>
      <c r="Z3" s="368"/>
    </row>
    <row r="4" spans="2:26" ht="15.75">
      <c r="B4" s="368" t="s">
        <v>1229</v>
      </c>
      <c r="C4" s="368"/>
      <c r="D4" s="368"/>
      <c r="E4" s="370" t="s">
        <v>917</v>
      </c>
      <c r="F4" s="370" t="s">
        <v>918</v>
      </c>
      <c r="G4" s="370" t="s">
        <v>3</v>
      </c>
      <c r="H4" s="370" t="s">
        <v>431</v>
      </c>
      <c r="I4" s="368"/>
      <c r="J4" s="370" t="s">
        <v>1133</v>
      </c>
      <c r="K4" s="368"/>
      <c r="L4" s="368"/>
      <c r="M4" s="368"/>
      <c r="N4" s="368"/>
      <c r="O4" s="408" t="s">
        <v>1230</v>
      </c>
      <c r="P4" s="370" t="s">
        <v>917</v>
      </c>
      <c r="Q4" s="370" t="s">
        <v>918</v>
      </c>
      <c r="R4" s="370" t="s">
        <v>3</v>
      </c>
      <c r="S4" s="370" t="s">
        <v>431</v>
      </c>
      <c r="T4" s="368" t="s">
        <v>677</v>
      </c>
      <c r="U4" s="368"/>
      <c r="V4" s="368"/>
      <c r="W4" s="368"/>
      <c r="X4" s="368"/>
      <c r="Y4" s="368"/>
      <c r="Z4" s="368"/>
    </row>
    <row r="5" spans="2:26" ht="15.75">
      <c r="B5" s="368"/>
      <c r="C5" s="368"/>
      <c r="D5" s="836" t="s">
        <v>509</v>
      </c>
      <c r="E5" s="857">
        <f>APCPerson1DOB</f>
        <v>18264</v>
      </c>
      <c r="F5" s="1253">
        <f ca="1">YEARFRAC(E5,Input!ValuationDate)</f>
        <v>66.891666666666666</v>
      </c>
      <c r="G5" s="858">
        <f ca="1">INT(F5)</f>
        <v>66</v>
      </c>
      <c r="H5" s="943" t="str">
        <f>IF('Age Pension Calculator'!$X$14="Male","M","F")</f>
        <v>M</v>
      </c>
      <c r="I5" s="368"/>
      <c r="J5" s="836" t="s">
        <v>509</v>
      </c>
      <c r="K5" s="1105">
        <f ca="1">VLOOKUP(G5,SocialSecuritySettings!RelevantNumbers,IF('APC portfolio inputs'!E16="F",2,3))</f>
        <v>18.41</v>
      </c>
      <c r="L5" s="368"/>
      <c r="M5" s="368"/>
      <c r="N5" s="368"/>
      <c r="O5" s="368"/>
      <c r="P5" s="857">
        <f ca="1">IF(Relationship="Single",APCPerson1DOB,IF(OR('Age Pension Calculator'!AJ16="No",'Age Pension Calculator'!AJ17="No"),APCPerson1DOB,IF(Settings!L11="Person 1 only",APCPerson1DOB,IF(Settings!L11="Person 2 only",APCPerson2DOB,APCPerson1DOB))))</f>
        <v>18264</v>
      </c>
      <c r="Q5" s="858">
        <f ca="1">YEARFRAC(P5,Input!ValuationDate)</f>
        <v>66.891666666666666</v>
      </c>
      <c r="R5" s="858">
        <f ca="1">INT(Q5)</f>
        <v>66</v>
      </c>
      <c r="S5" s="943" t="str">
        <f ca="1">IF(J25="Person 1 only",H5,IF(J25="Person 2 only",H6,H5))</f>
        <v>M</v>
      </c>
      <c r="T5" s="943">
        <f ca="1">IF(J25="Person 1 only",K5,IF(J25="Person 2 only",K6,K5))</f>
        <v>18.41</v>
      </c>
      <c r="U5" s="368"/>
      <c r="V5" s="368"/>
      <c r="W5" s="368"/>
      <c r="X5" s="368"/>
      <c r="Y5" s="368"/>
      <c r="Z5" s="368"/>
    </row>
    <row r="6" spans="2:26" ht="15.75">
      <c r="B6" s="368"/>
      <c r="C6" s="368"/>
      <c r="D6" s="836" t="s">
        <v>544</v>
      </c>
      <c r="E6" s="857">
        <f>IF(Relationship="Single","",APCPerson2DOB)</f>
        <v>18265</v>
      </c>
      <c r="F6" s="858">
        <f ca="1">YEARFRAC(E6,Input!ValuationDate)</f>
        <v>66.888888888888886</v>
      </c>
      <c r="G6" s="858">
        <f ca="1">INT(F6)</f>
        <v>66</v>
      </c>
      <c r="H6" s="943" t="str">
        <f>IF('Age Pension Calculator'!$X$19="Male","M","F")</f>
        <v>F</v>
      </c>
      <c r="I6" s="368"/>
      <c r="J6" s="836" t="s">
        <v>544</v>
      </c>
      <c r="K6" s="1105">
        <f ca="1">VLOOKUP(G6,SocialSecuritySettings!RelevantNumbers,IF('APC portfolio inputs'!F16="F",2,3))</f>
        <v>18.41</v>
      </c>
      <c r="L6" s="368"/>
      <c r="M6" s="368"/>
      <c r="N6" s="368"/>
      <c r="O6" s="368"/>
      <c r="P6" s="857">
        <f ca="1">IF(Relationship="Single","",IF(OR('Age Pension Calculator'!$AJ$16="No",'Age Pension Calculator'!$AJ$17="No"),E6,IF(Settings!$L$11="Person 1 only",APCPerson1DOB,IF(Settings!$L$11="Person 2 only",APCPerson2DOB,APCPerson2DOB))))</f>
        <v>18264</v>
      </c>
      <c r="Q6" s="858">
        <f ca="1">YEARFRAC(P6,Input!ValuationDate)</f>
        <v>66.891666666666666</v>
      </c>
      <c r="R6" s="858">
        <f ca="1">INT(Q6)</f>
        <v>66</v>
      </c>
      <c r="S6" s="943" t="str">
        <f ca="1">IF(J26="Person 1 only",H5,IF(J25="Person 2 only",H6,H6))</f>
        <v>M</v>
      </c>
      <c r="T6" s="943">
        <f ca="1">IF(J26="Person 1 only",K5,IF(J26="Person 2 only",K6,K6))</f>
        <v>18.41</v>
      </c>
      <c r="U6" s="368"/>
      <c r="V6" s="368"/>
      <c r="W6" s="368"/>
      <c r="X6" s="368"/>
      <c r="Y6" s="368"/>
      <c r="Z6" s="368"/>
    </row>
    <row r="7" spans="2:26">
      <c r="B7" s="368"/>
      <c r="C7" s="368"/>
      <c r="D7" s="368"/>
      <c r="E7" s="368"/>
      <c r="F7" s="368"/>
      <c r="G7" s="368"/>
      <c r="H7" s="368"/>
      <c r="I7" s="368"/>
      <c r="J7" s="368"/>
      <c r="K7" s="368"/>
      <c r="L7" s="368"/>
      <c r="M7" s="368"/>
      <c r="N7" s="368"/>
      <c r="O7" s="368"/>
      <c r="P7" s="368"/>
      <c r="Q7" s="368"/>
      <c r="R7" s="368"/>
      <c r="S7" s="368"/>
      <c r="T7" s="368"/>
      <c r="U7" s="368"/>
      <c r="V7" s="368"/>
      <c r="W7" s="368"/>
      <c r="X7" s="368"/>
      <c r="Y7" s="368"/>
      <c r="Z7" s="368"/>
    </row>
    <row r="8" spans="2:26" ht="18">
      <c r="B8" s="840" t="s">
        <v>932</v>
      </c>
      <c r="C8" s="841"/>
      <c r="D8" s="841"/>
      <c r="E8" s="841"/>
      <c r="F8" s="841"/>
      <c r="G8" s="841"/>
      <c r="H8" s="841"/>
      <c r="I8" s="841"/>
      <c r="J8" s="841"/>
      <c r="K8" s="841"/>
      <c r="L8" s="841"/>
      <c r="M8" s="841"/>
      <c r="N8" s="841"/>
      <c r="O8" s="841"/>
      <c r="P8" s="841"/>
      <c r="Q8" s="841"/>
      <c r="R8" s="841"/>
      <c r="S8" s="841"/>
      <c r="T8" s="841"/>
      <c r="U8" s="841"/>
      <c r="V8" s="841"/>
      <c r="W8" s="841"/>
      <c r="X8" s="841"/>
      <c r="Y8" s="841"/>
      <c r="Z8" s="841"/>
    </row>
    <row r="9" spans="2:26">
      <c r="B9" s="368"/>
      <c r="C9" s="368"/>
      <c r="D9" s="368"/>
      <c r="E9" s="368"/>
      <c r="F9" s="368"/>
      <c r="G9" s="368"/>
      <c r="H9" s="368"/>
      <c r="I9" s="368"/>
      <c r="J9" s="368"/>
      <c r="K9" s="368"/>
      <c r="L9" s="368"/>
      <c r="M9" s="368"/>
      <c r="N9" s="368"/>
      <c r="O9" s="368"/>
      <c r="P9" s="368"/>
      <c r="Q9" s="368"/>
      <c r="R9" s="368"/>
      <c r="S9" s="368"/>
      <c r="T9" s="368"/>
      <c r="U9" s="368"/>
      <c r="V9" s="368"/>
      <c r="W9" s="368"/>
      <c r="X9" s="368"/>
      <c r="Y9" s="368"/>
      <c r="Z9" s="368"/>
    </row>
    <row r="10" spans="2:26" ht="15.75">
      <c r="B10" s="368"/>
      <c r="C10" s="368"/>
      <c r="D10" s="357"/>
      <c r="E10" s="372" t="s">
        <v>22</v>
      </c>
      <c r="F10" s="372" t="s">
        <v>23</v>
      </c>
      <c r="G10" s="368"/>
      <c r="H10" s="368"/>
      <c r="I10" s="832" t="s">
        <v>433</v>
      </c>
      <c r="J10" s="832"/>
      <c r="K10" s="368"/>
      <c r="L10" s="368"/>
      <c r="M10" s="368"/>
      <c r="N10" s="368"/>
      <c r="O10" s="368"/>
      <c r="P10" s="368"/>
      <c r="Q10" s="368"/>
      <c r="R10" s="368"/>
      <c r="S10" s="368"/>
      <c r="T10" s="368"/>
      <c r="U10" s="368"/>
      <c r="V10" s="368"/>
      <c r="W10" s="368"/>
      <c r="X10" s="368"/>
      <c r="Y10" s="368"/>
      <c r="Z10" s="368"/>
    </row>
    <row r="11" spans="2:26">
      <c r="B11" s="368"/>
      <c r="C11" s="368"/>
      <c r="D11" s="373" t="s">
        <v>429</v>
      </c>
      <c r="E11" s="376">
        <f ca="1">VLOOKUP(G5,I$12:J$18,2)</f>
        <v>0.05</v>
      </c>
      <c r="F11" s="374">
        <f ca="1">VLOOKUP(G6,I12:J18,2)</f>
        <v>0.05</v>
      </c>
      <c r="G11" s="368"/>
      <c r="H11" s="368"/>
      <c r="I11" s="891" t="s">
        <v>432</v>
      </c>
      <c r="J11" s="891" t="s">
        <v>416</v>
      </c>
      <c r="K11" s="368"/>
      <c r="L11" s="368"/>
      <c r="M11" s="368"/>
      <c r="N11" s="368"/>
      <c r="O11" s="368"/>
      <c r="P11" s="368"/>
      <c r="Q11" s="368"/>
      <c r="R11" s="368"/>
      <c r="S11" s="368"/>
      <c r="T11" s="368"/>
      <c r="U11" s="368"/>
      <c r="V11" s="368"/>
      <c r="W11" s="368"/>
      <c r="X11" s="368"/>
      <c r="Y11" s="368"/>
      <c r="Z11" s="368"/>
    </row>
    <row r="12" spans="2:26">
      <c r="B12" s="368"/>
      <c r="C12" s="368"/>
      <c r="D12" s="357"/>
      <c r="E12" s="357"/>
      <c r="F12" s="357"/>
      <c r="G12" s="368"/>
      <c r="H12" s="368"/>
      <c r="I12" s="892">
        <v>55</v>
      </c>
      <c r="J12" s="893">
        <f>SocialSecuritySettings!D165</f>
        <v>0.04</v>
      </c>
      <c r="K12" s="368"/>
      <c r="L12" s="368"/>
      <c r="M12" s="368"/>
      <c r="N12" s="368"/>
      <c r="O12" s="368"/>
      <c r="P12" s="368"/>
      <c r="Q12" s="368"/>
      <c r="R12" s="368"/>
      <c r="S12" s="368"/>
      <c r="T12" s="368"/>
      <c r="U12" s="368"/>
      <c r="V12" s="368"/>
      <c r="W12" s="368"/>
      <c r="X12" s="368"/>
      <c r="Y12" s="368"/>
      <c r="Z12" s="368"/>
    </row>
    <row r="13" spans="2:26" ht="15.75">
      <c r="B13" s="368"/>
      <c r="C13" s="368"/>
      <c r="D13" s="57"/>
      <c r="E13" s="57"/>
      <c r="F13" s="57"/>
      <c r="G13" s="368"/>
      <c r="H13" s="368"/>
      <c r="I13" s="894">
        <f>SocialSecuritySettings!C165</f>
        <v>65</v>
      </c>
      <c r="J13" s="893">
        <f>SocialSecuritySettings!D166</f>
        <v>0.05</v>
      </c>
      <c r="K13" s="368"/>
      <c r="L13" s="368"/>
      <c r="M13" s="368"/>
      <c r="N13" s="368"/>
      <c r="O13" s="368"/>
      <c r="P13" s="368"/>
      <c r="Q13" s="368"/>
      <c r="R13" s="368"/>
      <c r="S13" s="368"/>
      <c r="T13" s="368"/>
      <c r="U13" s="368"/>
      <c r="V13" s="368"/>
      <c r="W13" s="368"/>
      <c r="X13" s="368"/>
      <c r="Y13" s="368"/>
      <c r="Z13" s="368"/>
    </row>
    <row r="14" spans="2:26">
      <c r="B14" s="368"/>
      <c r="C14" s="368"/>
      <c r="D14" s="357"/>
      <c r="E14" s="357"/>
      <c r="F14" s="357"/>
      <c r="G14" s="368"/>
      <c r="H14" s="368"/>
      <c r="I14" s="894">
        <f>SocialSecuritySettings!C166</f>
        <v>75</v>
      </c>
      <c r="J14" s="893">
        <f>SocialSecuritySettings!D167</f>
        <v>0.06</v>
      </c>
      <c r="K14" s="368"/>
      <c r="L14" s="368"/>
      <c r="M14" s="368"/>
      <c r="N14" s="368"/>
      <c r="O14" s="368"/>
      <c r="P14" s="368"/>
      <c r="Q14" s="368"/>
      <c r="R14" s="368"/>
      <c r="S14" s="368"/>
      <c r="T14" s="368"/>
      <c r="U14" s="368"/>
      <c r="V14" s="368"/>
      <c r="W14" s="368"/>
      <c r="X14" s="368"/>
      <c r="Y14" s="368"/>
      <c r="Z14" s="368"/>
    </row>
    <row r="15" spans="2:26">
      <c r="B15" s="368"/>
      <c r="C15" s="368"/>
      <c r="D15" s="357"/>
      <c r="E15" s="357"/>
      <c r="F15" s="357"/>
      <c r="G15" s="368"/>
      <c r="H15" s="368"/>
      <c r="I15" s="894">
        <f>SocialSecuritySettings!C167</f>
        <v>80</v>
      </c>
      <c r="J15" s="893">
        <f>SocialSecuritySettings!D168</f>
        <v>7.0000000000000007E-2</v>
      </c>
      <c r="K15" s="368"/>
      <c r="L15" s="368"/>
      <c r="M15" s="368"/>
      <c r="N15" s="368"/>
      <c r="O15" s="368"/>
      <c r="P15" s="368"/>
      <c r="Q15" s="368"/>
      <c r="R15" s="368"/>
      <c r="S15" s="368"/>
      <c r="T15" s="368"/>
      <c r="U15" s="368"/>
      <c r="V15" s="368"/>
      <c r="W15" s="368"/>
      <c r="X15" s="368"/>
      <c r="Y15" s="368"/>
      <c r="Z15" s="368"/>
    </row>
    <row r="16" spans="2:26">
      <c r="B16" s="368"/>
      <c r="C16" s="368"/>
      <c r="D16" s="357"/>
      <c r="E16" s="357"/>
      <c r="F16" s="357"/>
      <c r="G16" s="368"/>
      <c r="H16" s="368"/>
      <c r="I16" s="894">
        <f>SocialSecuritySettings!C168</f>
        <v>85</v>
      </c>
      <c r="J16" s="893">
        <f>SocialSecuritySettings!D169</f>
        <v>0.09</v>
      </c>
      <c r="K16" s="368"/>
      <c r="L16" s="368"/>
      <c r="M16" s="368"/>
      <c r="N16" s="368"/>
      <c r="O16" s="368"/>
      <c r="P16" s="368"/>
      <c r="Q16" s="368"/>
      <c r="R16" s="368"/>
      <c r="S16" s="368"/>
      <c r="T16" s="368"/>
      <c r="U16" s="368"/>
      <c r="V16" s="368"/>
      <c r="W16" s="368"/>
      <c r="X16" s="368"/>
      <c r="Y16" s="368"/>
      <c r="Z16" s="368"/>
    </row>
    <row r="17" spans="2:26">
      <c r="B17" s="368"/>
      <c r="C17" s="368"/>
      <c r="D17" s="357"/>
      <c r="E17" s="357"/>
      <c r="F17" s="357"/>
      <c r="G17" s="368"/>
      <c r="H17" s="368"/>
      <c r="I17" s="894">
        <f>SocialSecuritySettings!C169</f>
        <v>90</v>
      </c>
      <c r="J17" s="893">
        <f>SocialSecuritySettings!D170</f>
        <v>0.11</v>
      </c>
      <c r="K17" s="368"/>
      <c r="L17" s="368"/>
      <c r="M17" s="368"/>
      <c r="N17" s="368"/>
      <c r="O17" s="368"/>
      <c r="P17" s="368"/>
      <c r="Q17" s="368"/>
      <c r="R17" s="368"/>
      <c r="S17" s="368"/>
      <c r="T17" s="368"/>
      <c r="U17" s="368"/>
      <c r="V17" s="368"/>
      <c r="W17" s="368"/>
      <c r="X17" s="368"/>
      <c r="Y17" s="368"/>
      <c r="Z17" s="368"/>
    </row>
    <row r="18" spans="2:26">
      <c r="B18" s="368"/>
      <c r="C18" s="368"/>
      <c r="D18" s="357"/>
      <c r="E18" s="357"/>
      <c r="F18" s="357"/>
      <c r="G18" s="368"/>
      <c r="H18" s="368"/>
      <c r="I18" s="894">
        <f>SocialSecuritySettings!C170</f>
        <v>95</v>
      </c>
      <c r="J18" s="893">
        <f>SocialSecuritySettings!D171</f>
        <v>0.14000000000000001</v>
      </c>
      <c r="K18" s="368"/>
      <c r="L18" s="368"/>
      <c r="M18" s="368"/>
      <c r="N18" s="368"/>
      <c r="O18" s="368"/>
      <c r="P18" s="368"/>
      <c r="Q18" s="368"/>
      <c r="R18" s="368"/>
      <c r="S18" s="368"/>
      <c r="T18" s="368"/>
      <c r="U18" s="368"/>
      <c r="V18" s="368"/>
      <c r="W18" s="368"/>
      <c r="X18" s="368"/>
      <c r="Y18" s="368"/>
      <c r="Z18" s="368"/>
    </row>
    <row r="19" spans="2:26">
      <c r="B19" s="368"/>
      <c r="C19" s="368"/>
      <c r="D19" s="357"/>
      <c r="E19" s="357"/>
      <c r="F19" s="357"/>
      <c r="G19" s="368"/>
      <c r="H19" s="368"/>
      <c r="I19" s="368"/>
      <c r="J19" s="368"/>
      <c r="K19" s="368"/>
      <c r="L19" s="368"/>
      <c r="M19" s="368"/>
      <c r="N19" s="368"/>
      <c r="O19" s="368"/>
      <c r="P19" s="368"/>
      <c r="Q19" s="368"/>
      <c r="R19" s="368"/>
      <c r="S19" s="368"/>
      <c r="T19" s="368"/>
      <c r="U19" s="368"/>
      <c r="V19" s="368"/>
      <c r="W19" s="368"/>
      <c r="X19" s="368"/>
      <c r="Y19" s="368"/>
      <c r="Z19" s="368"/>
    </row>
    <row r="20" spans="2:26" ht="18">
      <c r="B20" s="840" t="s">
        <v>574</v>
      </c>
      <c r="C20" s="841"/>
      <c r="D20" s="841"/>
      <c r="E20" s="841"/>
      <c r="F20" s="841"/>
      <c r="G20" s="841"/>
      <c r="H20" s="841"/>
      <c r="I20" s="841"/>
      <c r="J20" s="841"/>
      <c r="K20" s="841"/>
      <c r="L20" s="841"/>
      <c r="M20" s="841"/>
      <c r="N20" s="841"/>
      <c r="O20" s="841"/>
      <c r="P20" s="841"/>
      <c r="Q20" s="841"/>
      <c r="R20" s="841"/>
      <c r="S20" s="841"/>
      <c r="T20" s="841"/>
      <c r="U20" s="841"/>
      <c r="V20" s="841"/>
      <c r="W20" s="841"/>
      <c r="X20" s="841"/>
      <c r="Y20" s="841"/>
      <c r="Z20" s="841"/>
    </row>
    <row r="21" spans="2:26">
      <c r="B21" s="368"/>
      <c r="C21" s="368"/>
      <c r="D21" s="368"/>
      <c r="E21" s="368"/>
      <c r="F21" s="368"/>
      <c r="G21" s="368"/>
      <c r="H21" s="368"/>
      <c r="I21" s="368"/>
      <c r="J21" s="368"/>
      <c r="K21" s="368"/>
      <c r="L21" s="368"/>
      <c r="M21" s="368"/>
      <c r="N21" s="368"/>
      <c r="O21" s="368"/>
      <c r="P21" s="368"/>
      <c r="Q21" s="368"/>
      <c r="R21" s="368"/>
      <c r="S21" s="368"/>
      <c r="T21" s="368"/>
      <c r="U21" s="368"/>
      <c r="V21" s="368"/>
      <c r="W21" s="368"/>
      <c r="X21" s="368"/>
      <c r="Y21" s="368"/>
      <c r="Z21" s="368"/>
    </row>
    <row r="22" spans="2:26" ht="15.75">
      <c r="B22" s="368"/>
      <c r="C22" s="368"/>
      <c r="D22" s="826" t="s">
        <v>946</v>
      </c>
      <c r="E22" s="825"/>
      <c r="F22" s="825"/>
      <c r="G22" s="825"/>
      <c r="H22" s="825"/>
      <c r="I22" s="825"/>
      <c r="J22" s="825"/>
      <c r="K22" s="825"/>
      <c r="L22" s="825"/>
      <c r="M22" s="825"/>
      <c r="N22" s="825"/>
      <c r="O22" s="825"/>
      <c r="P22" s="368"/>
      <c r="Q22" s="368"/>
      <c r="R22" s="368"/>
      <c r="S22" s="368"/>
      <c r="T22" s="368"/>
      <c r="U22" s="368"/>
      <c r="V22" s="368"/>
      <c r="W22" s="368"/>
      <c r="X22" s="368"/>
      <c r="Y22" s="368"/>
      <c r="Z22" s="368"/>
    </row>
    <row r="23" spans="2:26" ht="15.75" customHeight="1">
      <c r="B23" s="368"/>
      <c r="C23" s="368"/>
      <c r="D23" s="368"/>
      <c r="E23" s="368"/>
      <c r="F23" s="368"/>
      <c r="G23" s="368"/>
      <c r="H23" s="368"/>
      <c r="I23" s="368"/>
      <c r="J23" s="1560" t="s">
        <v>1213</v>
      </c>
      <c r="K23" s="368"/>
      <c r="L23" s="368"/>
      <c r="M23" s="368"/>
      <c r="N23" s="368"/>
      <c r="O23" s="368"/>
      <c r="P23" s="368"/>
      <c r="Q23" s="368"/>
      <c r="R23" s="368"/>
      <c r="S23" s="368"/>
      <c r="T23" s="368"/>
      <c r="U23" s="368"/>
      <c r="V23" s="368"/>
      <c r="W23" s="368"/>
      <c r="X23" s="368"/>
      <c r="Y23" s="368"/>
      <c r="Z23" s="368"/>
    </row>
    <row r="24" spans="2:26" ht="22.5" customHeight="1">
      <c r="B24" s="368"/>
      <c r="C24" s="368"/>
      <c r="D24" s="806"/>
      <c r="E24" s="805" t="s">
        <v>178</v>
      </c>
      <c r="F24" s="806"/>
      <c r="G24" s="806"/>
      <c r="H24" s="805" t="s">
        <v>295</v>
      </c>
      <c r="I24" s="806"/>
      <c r="J24" s="1561"/>
      <c r="K24" s="368"/>
      <c r="L24" s="815" t="s">
        <v>515</v>
      </c>
      <c r="M24" s="815"/>
      <c r="N24" s="816" t="s">
        <v>904</v>
      </c>
      <c r="O24" s="368"/>
      <c r="P24" s="368"/>
      <c r="Q24" s="368"/>
      <c r="R24" s="368"/>
      <c r="S24" s="368"/>
      <c r="T24" s="368"/>
      <c r="U24" s="368"/>
      <c r="V24" s="368"/>
      <c r="W24" s="368"/>
      <c r="X24" s="368"/>
      <c r="Y24" s="368"/>
      <c r="Z24" s="368"/>
    </row>
    <row r="25" spans="2:26" ht="15.75">
      <c r="B25" s="368"/>
      <c r="C25" s="368"/>
      <c r="D25" s="505" t="s">
        <v>509</v>
      </c>
      <c r="E25" s="807">
        <f>'Age Pension Calculator'!V38</f>
        <v>200000</v>
      </c>
      <c r="F25" s="368"/>
      <c r="G25" s="368"/>
      <c r="H25" s="807">
        <v>0</v>
      </c>
      <c r="I25" s="368"/>
      <c r="J25" s="368" t="str">
        <f ca="1">IF(Relationship="Single","Person 1",IF(OR('Age Pension Calculator'!$AJ$16="No",'Age Pension Calculator'!$AJ$17="No"),"Person 1",IF(AnnuityMoney="Term deposit/Cash (non-super)","Person 1",IF(Settings!$L$11="One each","Person 1",Settings!$L$11))))</f>
        <v>Person 1 only</v>
      </c>
      <c r="K25" s="368"/>
      <c r="L25" s="505" t="s">
        <v>93</v>
      </c>
      <c r="M25" s="809">
        <f>(E25+E26)*'Age Pension Calculator'!X33</f>
        <v>140000</v>
      </c>
      <c r="N25" s="817">
        <f>'Age Pension Calculator'!X33</f>
        <v>0.4</v>
      </c>
      <c r="O25" s="368"/>
      <c r="P25" s="368"/>
      <c r="Q25" s="368"/>
      <c r="R25" s="368"/>
      <c r="S25" s="368"/>
      <c r="T25" s="368"/>
      <c r="U25" s="368"/>
      <c r="V25" s="368"/>
      <c r="W25" s="368"/>
      <c r="X25" s="368"/>
      <c r="Y25" s="368"/>
      <c r="Z25" s="368"/>
    </row>
    <row r="26" spans="2:26" ht="15.75">
      <c r="B26" s="368"/>
      <c r="C26" s="368"/>
      <c r="D26" s="505" t="s">
        <v>544</v>
      </c>
      <c r="E26" s="807">
        <f>IF(Relationship="Couple",'Age Pension Calculator'!V41,0)</f>
        <v>150000</v>
      </c>
      <c r="F26" s="368"/>
      <c r="G26" s="368"/>
      <c r="H26" s="807">
        <v>0</v>
      </c>
      <c r="I26" s="368"/>
      <c r="J26" s="368" t="str">
        <f ca="1">IF(Relationship="Single","Person 2",IF(OR('Age Pension Calculator'!$AJ$16="No",'Age Pension Calculator'!$AJ$17="No"),"Person 2",IF(AnnuityMoney="Term deposit/Cash (non-super)","Person 2",IF(Settings!$L$11="One each","Person 2",Settings!$L$11))))</f>
        <v>Person 1 only</v>
      </c>
      <c r="K26" s="368"/>
      <c r="L26" s="505" t="s">
        <v>94</v>
      </c>
      <c r="M26" s="809">
        <f>(E25+E26)*'Age Pension Calculator'!T33</f>
        <v>210000</v>
      </c>
      <c r="N26" s="817">
        <f>'Age Pension Calculator'!T33</f>
        <v>0.6</v>
      </c>
      <c r="O26" s="368"/>
      <c r="P26" s="368"/>
      <c r="Q26" s="368"/>
      <c r="R26" s="368"/>
      <c r="S26" s="368"/>
      <c r="T26" s="368"/>
      <c r="U26" s="368"/>
      <c r="V26" s="368"/>
      <c r="W26" s="368"/>
      <c r="X26" s="368"/>
      <c r="Y26" s="368"/>
      <c r="Z26" s="368"/>
    </row>
    <row r="27" spans="2:26" ht="15.75">
      <c r="B27" s="368"/>
      <c r="C27" s="368"/>
      <c r="D27" s="368"/>
      <c r="E27" s="368"/>
      <c r="F27" s="368"/>
      <c r="G27" s="368"/>
      <c r="H27" s="368"/>
      <c r="I27" s="368"/>
      <c r="J27" s="368"/>
      <c r="K27" s="368"/>
      <c r="L27" s="812" t="s">
        <v>79</v>
      </c>
      <c r="M27" s="807">
        <f>SUM(M25:M26)</f>
        <v>350000</v>
      </c>
      <c r="N27" s="369"/>
      <c r="O27" s="368"/>
      <c r="P27" s="368"/>
      <c r="Q27" s="368"/>
      <c r="R27" s="368"/>
      <c r="S27" s="368"/>
      <c r="T27" s="368"/>
      <c r="U27" s="368"/>
      <c r="V27" s="368"/>
      <c r="W27" s="368"/>
      <c r="X27" s="368"/>
      <c r="Y27" s="368"/>
      <c r="Z27" s="368"/>
    </row>
    <row r="28" spans="2:26" ht="16.5" thickBot="1">
      <c r="B28" s="368"/>
      <c r="C28" s="368"/>
      <c r="D28" s="368"/>
      <c r="E28" s="368"/>
      <c r="F28" s="368"/>
      <c r="G28" s="368"/>
      <c r="H28" s="368"/>
      <c r="I28" s="368"/>
      <c r="J28" s="368"/>
      <c r="K28" s="368"/>
      <c r="L28" s="813" t="s">
        <v>903</v>
      </c>
      <c r="M28" s="814">
        <f>M25+M26</f>
        <v>350000</v>
      </c>
      <c r="N28" s="818"/>
      <c r="O28" s="368"/>
      <c r="P28" s="368"/>
      <c r="Q28" s="368"/>
      <c r="R28" s="368"/>
      <c r="S28" s="368"/>
      <c r="T28" s="368"/>
      <c r="U28" s="368"/>
      <c r="V28" s="368"/>
      <c r="W28" s="368"/>
      <c r="X28" s="368"/>
      <c r="Y28" s="368"/>
      <c r="Z28" s="368"/>
    </row>
    <row r="29" spans="2:26" ht="15.75">
      <c r="B29" s="368"/>
      <c r="C29" s="368"/>
      <c r="D29" s="368"/>
      <c r="E29" s="368"/>
      <c r="F29" s="368"/>
      <c r="G29" s="368"/>
      <c r="H29" s="368"/>
      <c r="I29" s="368"/>
      <c r="J29" s="368"/>
      <c r="K29" s="368"/>
      <c r="L29" s="837"/>
      <c r="M29" s="844"/>
      <c r="N29" s="845"/>
      <c r="O29" s="368"/>
      <c r="P29" s="368"/>
      <c r="Q29" s="368"/>
      <c r="R29" s="368"/>
      <c r="S29" s="368"/>
      <c r="T29" s="368"/>
      <c r="U29" s="368"/>
      <c r="V29" s="368"/>
      <c r="W29" s="368"/>
      <c r="X29" s="368"/>
      <c r="Y29" s="368"/>
      <c r="Z29" s="368"/>
    </row>
    <row r="30" spans="2:26" ht="15.75">
      <c r="B30" s="368"/>
      <c r="C30" s="368"/>
      <c r="D30" s="370" t="s">
        <v>915</v>
      </c>
      <c r="E30" s="370"/>
      <c r="F30" s="368"/>
      <c r="G30" s="368"/>
      <c r="H30" s="1562" t="s">
        <v>550</v>
      </c>
      <c r="I30" s="1562" t="s">
        <v>558</v>
      </c>
      <c r="J30" s="1562" t="s">
        <v>879</v>
      </c>
      <c r="K30" s="368"/>
      <c r="L30" s="368" t="s">
        <v>907</v>
      </c>
      <c r="M30" s="821">
        <f>H26+H27</f>
        <v>0</v>
      </c>
      <c r="N30" s="845"/>
      <c r="O30" s="368"/>
      <c r="P30" s="368"/>
      <c r="Q30" s="368"/>
      <c r="R30" s="368"/>
      <c r="S30" s="368"/>
      <c r="T30" s="368"/>
      <c r="U30" s="368"/>
      <c r="V30" s="368"/>
      <c r="W30" s="368"/>
      <c r="X30" s="368"/>
      <c r="Y30" s="368"/>
      <c r="Z30" s="368"/>
    </row>
    <row r="31" spans="2:26" ht="16.5" thickBot="1">
      <c r="B31" s="368"/>
      <c r="C31" s="368"/>
      <c r="D31" s="57"/>
      <c r="E31" s="847" t="s">
        <v>545</v>
      </c>
      <c r="F31" s="847" t="s">
        <v>542</v>
      </c>
      <c r="G31" s="847" t="s">
        <v>110</v>
      </c>
      <c r="H31" s="1563"/>
      <c r="I31" s="1563"/>
      <c r="J31" s="1564"/>
      <c r="K31" s="368"/>
      <c r="L31" s="813" t="s">
        <v>903</v>
      </c>
      <c r="M31" s="814">
        <f>M30+M28</f>
        <v>350000</v>
      </c>
      <c r="N31" s="845"/>
      <c r="O31" s="368"/>
      <c r="P31" s="368"/>
      <c r="Q31" s="368"/>
      <c r="R31" s="368"/>
      <c r="S31" s="368"/>
      <c r="T31" s="368"/>
      <c r="U31" s="368"/>
      <c r="V31" s="368"/>
      <c r="W31" s="368"/>
      <c r="X31" s="368"/>
      <c r="Y31" s="368"/>
      <c r="Z31" s="368"/>
    </row>
    <row r="32" spans="2:26" ht="15.75">
      <c r="B32" s="368"/>
      <c r="C32" s="368"/>
      <c r="D32" s="505" t="s">
        <v>22</v>
      </c>
      <c r="E32" s="488" t="str">
        <f>Settings!$H$13</f>
        <v>No</v>
      </c>
      <c r="F32" s="488" t="str">
        <f>IF($E$32="No","Deemed",Settings!$L$13)</f>
        <v>Deemed</v>
      </c>
      <c r="G32" s="846">
        <f ca="1">IF($E$32="Yes",IF(Settings!$N$13="",VLOOKUP(G5,SocialSecuritySettings!RelevantNumbers,IF('APC portfolio inputs'!E16="F",2,3)),Settings!$N$13),VLOOKUP('Admin Settings'!G5,SocialSecuritySettings!RelevantNumbers,IF('APC portfolio inputs'!E16="F",2,3)))</f>
        <v>18.41</v>
      </c>
      <c r="H32" s="848">
        <f>Settings!$P$13</f>
        <v>0</v>
      </c>
      <c r="I32" s="849">
        <f>H32</f>
        <v>0</v>
      </c>
      <c r="J32" s="850">
        <f>CurrentPensionPayment1</f>
        <v>0</v>
      </c>
      <c r="K32" s="368"/>
      <c r="L32" s="837"/>
      <c r="M32" s="844"/>
      <c r="N32" s="845"/>
      <c r="O32" s="368"/>
      <c r="P32" s="368"/>
      <c r="Q32" s="368"/>
      <c r="R32" s="368"/>
      <c r="S32" s="368"/>
      <c r="T32" s="368"/>
      <c r="U32" s="368"/>
      <c r="V32" s="368"/>
      <c r="W32" s="368"/>
      <c r="X32" s="368"/>
      <c r="Y32" s="368"/>
      <c r="Z32" s="368"/>
    </row>
    <row r="33" spans="2:26" ht="15.75">
      <c r="B33" s="368"/>
      <c r="C33" s="368"/>
      <c r="D33" s="505" t="s">
        <v>544</v>
      </c>
      <c r="E33" s="488" t="str">
        <f>Settings!$H$15</f>
        <v>No</v>
      </c>
      <c r="F33" s="488" t="str">
        <f>IF($E$33="No","Deemed",Settings!$L$15)</f>
        <v>Deemed</v>
      </c>
      <c r="G33" s="488">
        <f ca="1">IF(Relationship="Couple",IF($E$33="Yes",IF(Settings!$N$15="",VLOOKUP(G6,SocialSecuritySettings!RelevantNumbers,IF('APC portfolio inputs'!F16="F",2,3)),Settings!$N$15),VLOOKUP('Admin Settings'!G6,SocialSecuritySettings!RelevantNumbers,IF('APC portfolio inputs'!F16="F",2,3))),"")</f>
        <v>18.41</v>
      </c>
      <c r="H33" s="848">
        <f>IF(Relationship="Couple",Settings!$P$15,"")</f>
        <v>0</v>
      </c>
      <c r="I33" s="849">
        <f>H33</f>
        <v>0</v>
      </c>
      <c r="J33" s="850">
        <f>CurrentPensionPayment2</f>
        <v>0</v>
      </c>
      <c r="K33" s="368"/>
      <c r="L33" s="837"/>
      <c r="M33" s="844"/>
      <c r="N33" s="845"/>
      <c r="O33" s="368"/>
      <c r="P33" s="368"/>
      <c r="Q33" s="368"/>
      <c r="R33" s="368"/>
      <c r="S33" s="368"/>
      <c r="T33" s="368"/>
      <c r="U33" s="368"/>
      <c r="V33" s="368"/>
      <c r="W33" s="368"/>
      <c r="X33" s="368"/>
      <c r="Y33" s="368"/>
      <c r="Z33" s="368"/>
    </row>
    <row r="34" spans="2:26">
      <c r="B34" s="368"/>
      <c r="C34" s="368"/>
      <c r="D34" s="368"/>
      <c r="E34" s="368"/>
      <c r="F34" s="368"/>
      <c r="G34" s="368"/>
      <c r="H34" s="368"/>
      <c r="I34" s="368"/>
      <c r="J34" s="368"/>
      <c r="K34" s="368"/>
      <c r="L34" s="368"/>
      <c r="M34" s="368"/>
      <c r="N34" s="368"/>
      <c r="O34" s="368"/>
      <c r="P34" s="368"/>
      <c r="Q34" s="368"/>
      <c r="R34" s="368"/>
      <c r="S34" s="368"/>
      <c r="T34" s="368"/>
      <c r="U34" s="368"/>
      <c r="V34" s="368"/>
      <c r="W34" s="368"/>
      <c r="X34" s="368"/>
      <c r="Y34" s="368"/>
      <c r="Z34" s="368"/>
    </row>
    <row r="35" spans="2:26" ht="15.75">
      <c r="B35" s="368"/>
      <c r="C35" s="368"/>
      <c r="D35" s="826" t="s">
        <v>945</v>
      </c>
      <c r="E35" s="825"/>
      <c r="F35" s="825"/>
      <c r="G35" s="825"/>
      <c r="H35" s="825"/>
      <c r="I35" s="825"/>
      <c r="J35" s="825"/>
      <c r="K35" s="825"/>
      <c r="L35" s="825"/>
      <c r="M35" s="825"/>
      <c r="N35" s="825"/>
      <c r="O35" s="825"/>
      <c r="P35" s="368"/>
      <c r="Q35" s="368"/>
      <c r="R35" s="368"/>
      <c r="S35" s="368"/>
      <c r="T35" s="368"/>
      <c r="U35" s="368"/>
      <c r="V35" s="368"/>
      <c r="W35" s="368"/>
      <c r="X35" s="368"/>
      <c r="Y35" s="368"/>
      <c r="Z35" s="368"/>
    </row>
    <row r="36" spans="2:26">
      <c r="B36" s="368"/>
      <c r="C36" s="368"/>
      <c r="D36" s="368"/>
      <c r="E36" s="368"/>
      <c r="F36" s="385"/>
      <c r="G36" s="368"/>
      <c r="H36" s="368"/>
      <c r="I36" s="368"/>
      <c r="J36" s="368"/>
      <c r="K36" s="368"/>
      <c r="L36" s="368"/>
      <c r="M36" s="368"/>
      <c r="N36" s="368"/>
      <c r="O36" s="368"/>
      <c r="P36" s="368"/>
      <c r="Q36" s="368"/>
      <c r="R36" s="368"/>
      <c r="S36" s="368"/>
      <c r="T36" s="368"/>
      <c r="U36" s="368"/>
      <c r="V36" s="368"/>
      <c r="W36" s="368"/>
      <c r="X36" s="368"/>
      <c r="Y36" s="368"/>
      <c r="Z36" s="368"/>
    </row>
    <row r="37" spans="2:26" ht="15.75">
      <c r="B37" s="368"/>
      <c r="C37" s="368"/>
      <c r="D37" s="806"/>
      <c r="E37" s="805" t="s">
        <v>178</v>
      </c>
      <c r="F37" s="806"/>
      <c r="G37" s="806"/>
      <c r="H37" s="805" t="s">
        <v>937</v>
      </c>
      <c r="I37" s="806"/>
      <c r="J37" s="368"/>
      <c r="K37" s="368"/>
      <c r="L37" s="815" t="s">
        <v>905</v>
      </c>
      <c r="M37" s="815"/>
      <c r="N37" s="816" t="s">
        <v>904</v>
      </c>
      <c r="O37" s="368"/>
      <c r="P37" s="368"/>
      <c r="Q37" s="368"/>
      <c r="R37" s="368"/>
      <c r="S37" s="368"/>
      <c r="T37" s="368"/>
      <c r="U37" s="368"/>
      <c r="V37" s="368"/>
      <c r="W37" s="368"/>
      <c r="X37" s="368"/>
      <c r="Y37" s="368"/>
      <c r="Z37" s="368"/>
    </row>
    <row r="38" spans="2:26" ht="15.75">
      <c r="B38" s="368"/>
      <c r="C38" s="368"/>
      <c r="D38" s="505" t="s">
        <v>509</v>
      </c>
      <c r="E38" s="807">
        <f>E25-H38</f>
        <v>100000</v>
      </c>
      <c r="F38" s="368"/>
      <c r="G38" s="368"/>
      <c r="H38" s="807">
        <f>IF('Age Pension Calculator'!AZ4="Account-Based Pension (super)",IF(Settings!J17="Yes",IF(PensionBalance1=0,0,Settings!N17),(APCAnnuityAllocation)*PensionBalance1),0)</f>
        <v>100000</v>
      </c>
      <c r="I38" s="368"/>
      <c r="J38" s="368"/>
      <c r="K38" s="368"/>
      <c r="L38" s="505" t="s">
        <v>93</v>
      </c>
      <c r="M38" s="811">
        <f>('Admin Settings'!E25+'Admin Settings'!E26)-(H38+H39)-M39</f>
        <v>140000</v>
      </c>
      <c r="N38" s="817">
        <f>IF(M40=0,0,M38/M40)</f>
        <v>0.8</v>
      </c>
      <c r="O38" s="368"/>
      <c r="P38" s="368"/>
      <c r="Q38" s="368"/>
      <c r="R38" s="368"/>
      <c r="S38" s="368"/>
      <c r="T38" s="368"/>
      <c r="U38" s="368"/>
      <c r="V38" s="368"/>
      <c r="W38" s="368"/>
      <c r="X38" s="368"/>
      <c r="Y38" s="368"/>
      <c r="Z38" s="368"/>
    </row>
    <row r="39" spans="2:26" ht="15.75">
      <c r="B39" s="368"/>
      <c r="C39" s="368"/>
      <c r="D39" s="505" t="s">
        <v>544</v>
      </c>
      <c r="E39" s="807">
        <f>E26-H39</f>
        <v>75000</v>
      </c>
      <c r="F39" s="368"/>
      <c r="G39" s="368"/>
      <c r="H39" s="807">
        <f>IF(Relationship="Couple", IF('Age Pension Calculator'!AZ4="Account-Based Pension (super)",IF(Settings!J17="Yes",IF(PensionBalance2=0,0,Settings!R17),(APCAnnuityAllocation)*PensionBalance2),0),0)</f>
        <v>75000</v>
      </c>
      <c r="I39" s="368"/>
      <c r="J39" s="368"/>
      <c r="K39" s="368"/>
      <c r="L39" s="820" t="s">
        <v>94</v>
      </c>
      <c r="M39" s="821">
        <f>IF(M26&gt;(H38+H39),M26-(H38+H39),0)</f>
        <v>35000</v>
      </c>
      <c r="N39" s="822">
        <f>IF(M40=0,0,M39/M40)</f>
        <v>0.2</v>
      </c>
      <c r="O39" s="368"/>
      <c r="P39" s="368"/>
      <c r="Q39" s="368"/>
      <c r="R39" s="368"/>
      <c r="S39" s="368"/>
      <c r="T39" s="368"/>
      <c r="U39" s="368"/>
      <c r="V39" s="368"/>
      <c r="W39" s="368"/>
      <c r="X39" s="368"/>
      <c r="Y39" s="368"/>
      <c r="Z39" s="368"/>
    </row>
    <row r="40" spans="2:26" ht="15.75">
      <c r="B40" s="368"/>
      <c r="C40" s="368"/>
      <c r="D40" s="368"/>
      <c r="E40" s="368"/>
      <c r="F40" s="368"/>
      <c r="G40" s="368"/>
      <c r="H40" s="368"/>
      <c r="I40" s="368"/>
      <c r="J40" s="368"/>
      <c r="K40" s="368"/>
      <c r="L40" s="812" t="s">
        <v>906</v>
      </c>
      <c r="M40" s="807">
        <f>MIN('Admin Settings'!E25+'Admin Settings'!E26,M38+M39)</f>
        <v>175000</v>
      </c>
      <c r="N40" s="819"/>
      <c r="O40" s="368"/>
      <c r="P40" s="368"/>
      <c r="Q40" s="368"/>
      <c r="R40" s="368"/>
      <c r="S40" s="368"/>
      <c r="T40" s="368"/>
      <c r="U40" s="368"/>
      <c r="V40" s="368"/>
      <c r="W40" s="368"/>
      <c r="X40" s="368"/>
      <c r="Y40" s="368"/>
      <c r="Z40" s="368"/>
    </row>
    <row r="41" spans="2:26">
      <c r="B41" s="368"/>
      <c r="C41" s="368"/>
      <c r="D41" s="368"/>
      <c r="E41" s="368"/>
      <c r="F41" s="368"/>
      <c r="G41" s="368"/>
      <c r="H41" s="368"/>
      <c r="I41" s="368"/>
      <c r="J41" s="368"/>
      <c r="K41" s="368"/>
      <c r="L41" s="368"/>
      <c r="M41" s="368"/>
      <c r="N41" s="368"/>
      <c r="O41" s="368"/>
      <c r="P41" s="368"/>
      <c r="Q41" s="368"/>
      <c r="R41" s="368"/>
      <c r="S41" s="368"/>
      <c r="T41" s="368"/>
      <c r="U41" s="368"/>
      <c r="V41" s="368"/>
      <c r="W41" s="368"/>
      <c r="X41" s="368"/>
      <c r="Y41" s="368"/>
      <c r="Z41" s="368"/>
    </row>
    <row r="42" spans="2:26" ht="15.75">
      <c r="B42" s="368"/>
      <c r="C42" s="368"/>
      <c r="D42" s="368"/>
      <c r="E42" s="368"/>
      <c r="F42" s="368"/>
      <c r="G42" s="368"/>
      <c r="H42" s="368"/>
      <c r="I42" s="368"/>
      <c r="J42" s="368"/>
      <c r="K42" s="368"/>
      <c r="L42" s="368" t="s">
        <v>907</v>
      </c>
      <c r="M42" s="821">
        <f>H38+H39</f>
        <v>175000</v>
      </c>
      <c r="N42" s="368"/>
      <c r="O42" s="823"/>
      <c r="P42" s="368"/>
      <c r="Q42" s="368"/>
      <c r="R42" s="368"/>
      <c r="S42" s="368"/>
      <c r="T42" s="368"/>
      <c r="U42" s="368"/>
      <c r="V42" s="368"/>
      <c r="W42" s="368"/>
      <c r="X42" s="368"/>
      <c r="Y42" s="368"/>
      <c r="Z42" s="368"/>
    </row>
    <row r="43" spans="2:26" ht="16.5" thickBot="1">
      <c r="B43" s="368"/>
      <c r="C43" s="368"/>
      <c r="D43" s="368"/>
      <c r="E43" s="368"/>
      <c r="F43" s="368"/>
      <c r="G43" s="368"/>
      <c r="H43" s="368"/>
      <c r="I43" s="368"/>
      <c r="J43" s="368"/>
      <c r="K43" s="368"/>
      <c r="L43" s="813" t="s">
        <v>903</v>
      </c>
      <c r="M43" s="814">
        <f>M42+M40</f>
        <v>350000</v>
      </c>
      <c r="N43" s="368"/>
      <c r="O43" s="368"/>
      <c r="P43" s="368"/>
      <c r="Q43" s="368"/>
      <c r="R43" s="368"/>
      <c r="S43" s="368"/>
      <c r="T43" s="368"/>
      <c r="U43" s="368"/>
      <c r="V43" s="368"/>
      <c r="W43" s="368"/>
      <c r="X43" s="368"/>
      <c r="Y43" s="368"/>
      <c r="Z43" s="368"/>
    </row>
    <row r="44" spans="2:26">
      <c r="B44" s="368"/>
      <c r="C44" s="368"/>
      <c r="D44" s="368"/>
      <c r="E44" s="368"/>
      <c r="F44" s="368"/>
      <c r="G44" s="368"/>
      <c r="H44" s="368"/>
      <c r="I44" s="368"/>
      <c r="J44" s="368"/>
      <c r="K44" s="368"/>
      <c r="L44" s="368"/>
      <c r="M44" s="368"/>
      <c r="N44" s="368"/>
      <c r="O44" s="368"/>
      <c r="P44" s="368"/>
      <c r="Q44" s="368"/>
      <c r="R44" s="368"/>
      <c r="S44" s="368"/>
      <c r="T44" s="368"/>
      <c r="U44" s="368"/>
      <c r="V44" s="368"/>
      <c r="W44" s="368"/>
      <c r="X44" s="368"/>
      <c r="Y44" s="368"/>
      <c r="Z44" s="368"/>
    </row>
    <row r="45" spans="2:26" ht="15.75" customHeight="1">
      <c r="B45" s="368"/>
      <c r="C45" s="368"/>
      <c r="D45" s="370" t="s">
        <v>915</v>
      </c>
      <c r="E45" s="370"/>
      <c r="F45" s="368"/>
      <c r="G45" s="368"/>
      <c r="H45" s="1562" t="s">
        <v>550</v>
      </c>
      <c r="I45" s="1562" t="s">
        <v>558</v>
      </c>
      <c r="J45" s="1562" t="s">
        <v>879</v>
      </c>
      <c r="K45" s="368"/>
      <c r="L45" s="368"/>
      <c r="M45" s="368"/>
      <c r="N45" s="368"/>
      <c r="O45" s="368"/>
      <c r="P45" s="368"/>
      <c r="Q45" s="368"/>
      <c r="R45" s="368"/>
      <c r="S45" s="368"/>
      <c r="T45" s="368"/>
      <c r="U45" s="368"/>
      <c r="V45" s="368"/>
      <c r="W45" s="368"/>
      <c r="X45" s="368"/>
      <c r="Y45" s="368"/>
      <c r="Z45" s="368"/>
    </row>
    <row r="46" spans="2:26" ht="15.75">
      <c r="B46" s="368"/>
      <c r="C46" s="368"/>
      <c r="D46" s="57"/>
      <c r="E46" s="847" t="s">
        <v>545</v>
      </c>
      <c r="F46" s="847" t="s">
        <v>542</v>
      </c>
      <c r="G46" s="847" t="s">
        <v>110</v>
      </c>
      <c r="H46" s="1563"/>
      <c r="I46" s="1563"/>
      <c r="J46" s="1564"/>
      <c r="K46" s="368"/>
      <c r="L46" s="820" t="s">
        <v>908</v>
      </c>
      <c r="M46" s="824"/>
      <c r="N46" s="824"/>
      <c r="O46" s="368"/>
      <c r="P46" s="368"/>
      <c r="Q46" s="368"/>
      <c r="R46" s="368"/>
      <c r="S46" s="368"/>
      <c r="T46" s="368"/>
      <c r="U46" s="368"/>
      <c r="V46" s="368"/>
      <c r="W46" s="368"/>
      <c r="X46" s="368"/>
      <c r="Y46" s="368"/>
      <c r="Z46" s="368"/>
    </row>
    <row r="47" spans="2:26" ht="15.75">
      <c r="B47" s="368"/>
      <c r="C47" s="368"/>
      <c r="D47" s="505" t="s">
        <v>22</v>
      </c>
      <c r="E47" s="488" t="str">
        <f>E32</f>
        <v>No</v>
      </c>
      <c r="F47" s="488" t="str">
        <f t="shared" ref="F47:H47" si="0">F32</f>
        <v>Deemed</v>
      </c>
      <c r="G47" s="488">
        <f t="shared" ca="1" si="0"/>
        <v>18.41</v>
      </c>
      <c r="H47" s="851">
        <f t="shared" si="0"/>
        <v>0</v>
      </c>
      <c r="I47" s="848">
        <f>MAX(0,H47-H38)</f>
        <v>0</v>
      </c>
      <c r="J47" s="850">
        <f>CurrentPensionPayment1</f>
        <v>0</v>
      </c>
      <c r="K47" s="368"/>
      <c r="L47" s="57"/>
      <c r="M47" s="505" t="s">
        <v>93</v>
      </c>
      <c r="N47" s="810">
        <f>IF(AND(PensionBalance1=0,PensionBalance2=0),0,'Admin Settings'!M38/M43)</f>
        <v>0.4</v>
      </c>
      <c r="O47" s="368"/>
      <c r="P47" s="368"/>
      <c r="Q47" s="368"/>
      <c r="R47" s="368"/>
      <c r="S47" s="368"/>
      <c r="T47" s="368"/>
      <c r="U47" s="368"/>
      <c r="V47" s="368"/>
      <c r="W47" s="368"/>
      <c r="X47" s="368"/>
      <c r="Y47" s="368"/>
      <c r="Z47" s="368"/>
    </row>
    <row r="48" spans="2:26" ht="15.75">
      <c r="B48" s="368"/>
      <c r="C48" s="368"/>
      <c r="D48" s="505" t="s">
        <v>544</v>
      </c>
      <c r="E48" s="488" t="str">
        <f>E33</f>
        <v>No</v>
      </c>
      <c r="F48" s="488" t="str">
        <f t="shared" ref="F48:H48" si="1">F33</f>
        <v>Deemed</v>
      </c>
      <c r="G48" s="488">
        <f t="shared" ca="1" si="1"/>
        <v>18.41</v>
      </c>
      <c r="H48" s="851">
        <f t="shared" si="1"/>
        <v>0</v>
      </c>
      <c r="I48" s="848">
        <f>IF(Relationship="Couple",MAX(0,H48-H39),"")</f>
        <v>0</v>
      </c>
      <c r="J48" s="850">
        <f>CurrentPensionPayment2</f>
        <v>0</v>
      </c>
      <c r="K48" s="368"/>
      <c r="L48" s="57"/>
      <c r="M48" s="505" t="s">
        <v>94</v>
      </c>
      <c r="N48" s="810">
        <f>1-N47</f>
        <v>0.6</v>
      </c>
      <c r="O48" s="368"/>
      <c r="P48" s="368"/>
      <c r="Q48" s="368"/>
      <c r="R48" s="368"/>
      <c r="S48" s="368"/>
      <c r="T48" s="368"/>
      <c r="U48" s="368"/>
      <c r="V48" s="368"/>
      <c r="W48" s="368"/>
      <c r="X48" s="368"/>
      <c r="Y48" s="368"/>
      <c r="Z48" s="368"/>
    </row>
    <row r="49" spans="2:26">
      <c r="B49" s="368"/>
      <c r="C49" s="368"/>
      <c r="D49" s="368"/>
      <c r="E49" s="368"/>
      <c r="F49" s="368"/>
      <c r="G49" s="368"/>
      <c r="H49" s="368"/>
      <c r="I49" s="368"/>
      <c r="J49" s="368"/>
      <c r="K49" s="368"/>
      <c r="L49" s="368"/>
      <c r="M49" s="368"/>
      <c r="N49" s="368"/>
      <c r="O49" s="368"/>
      <c r="P49" s="368"/>
      <c r="Q49" s="368"/>
      <c r="R49" s="368"/>
      <c r="S49" s="368"/>
      <c r="T49" s="368"/>
      <c r="U49" s="368"/>
      <c r="V49" s="368"/>
      <c r="W49" s="368"/>
      <c r="X49" s="368"/>
      <c r="Y49" s="368"/>
      <c r="Z49" s="368"/>
    </row>
    <row r="50" spans="2:26">
      <c r="B50" s="368"/>
      <c r="C50" s="368"/>
      <c r="D50" s="368"/>
      <c r="E50" s="368"/>
      <c r="F50" s="368"/>
      <c r="G50" s="368"/>
      <c r="H50" s="368"/>
      <c r="I50" s="368"/>
      <c r="J50" s="368"/>
      <c r="K50" s="368"/>
      <c r="L50" s="368"/>
      <c r="M50" s="368"/>
      <c r="N50" s="368"/>
      <c r="O50" s="368"/>
      <c r="P50" s="368"/>
      <c r="Q50" s="368"/>
      <c r="R50" s="368"/>
      <c r="S50" s="368"/>
      <c r="T50" s="368"/>
      <c r="U50" s="368"/>
      <c r="V50" s="368"/>
      <c r="W50" s="368"/>
      <c r="X50" s="368"/>
      <c r="Y50" s="368"/>
      <c r="Z50" s="368"/>
    </row>
    <row r="51" spans="2:26" ht="18">
      <c r="B51" s="840" t="s">
        <v>894</v>
      </c>
      <c r="C51" s="841"/>
      <c r="D51" s="841"/>
      <c r="E51" s="841"/>
      <c r="F51" s="841"/>
      <c r="G51" s="841"/>
      <c r="H51" s="841"/>
      <c r="I51" s="841"/>
      <c r="J51" s="841"/>
      <c r="K51" s="841"/>
      <c r="L51" s="841"/>
      <c r="M51" s="841"/>
      <c r="N51" s="841"/>
      <c r="O51" s="841"/>
      <c r="P51" s="841"/>
      <c r="Q51" s="841"/>
      <c r="R51" s="841"/>
      <c r="S51" s="841"/>
      <c r="T51" s="841"/>
      <c r="U51" s="841"/>
      <c r="V51" s="841"/>
      <c r="W51" s="841"/>
      <c r="X51" s="841"/>
      <c r="Y51" s="841"/>
      <c r="Z51" s="841"/>
    </row>
    <row r="52" spans="2:26">
      <c r="B52" s="368"/>
      <c r="C52" s="368"/>
      <c r="D52" s="368"/>
      <c r="E52" s="368"/>
      <c r="F52" s="368"/>
      <c r="G52" s="368"/>
      <c r="H52" s="368"/>
      <c r="I52" s="368"/>
      <c r="J52" s="368"/>
      <c r="K52" s="368"/>
      <c r="L52" s="368"/>
      <c r="M52" s="368"/>
      <c r="N52" s="368"/>
      <c r="O52" s="368"/>
      <c r="P52" s="368"/>
      <c r="Q52" s="368"/>
      <c r="R52" s="368"/>
      <c r="S52" s="368"/>
      <c r="T52" s="368"/>
      <c r="U52" s="368"/>
      <c r="V52" s="368"/>
      <c r="W52" s="368"/>
      <c r="X52" s="368"/>
      <c r="Y52" s="368"/>
      <c r="Z52" s="368"/>
    </row>
    <row r="53" spans="2:26" ht="15.75">
      <c r="B53" s="368"/>
      <c r="C53" s="826" t="s">
        <v>946</v>
      </c>
      <c r="D53" s="825"/>
      <c r="E53" s="825"/>
      <c r="F53" s="825"/>
      <c r="G53" s="825"/>
      <c r="H53" s="825"/>
      <c r="I53" s="825"/>
      <c r="J53" s="825"/>
      <c r="K53" s="825"/>
      <c r="L53" s="825"/>
      <c r="M53" s="825"/>
      <c r="N53" s="825"/>
      <c r="O53" s="825"/>
      <c r="P53" s="368"/>
      <c r="Q53" s="368"/>
      <c r="R53" s="368"/>
      <c r="S53" s="368"/>
      <c r="T53" s="368"/>
      <c r="U53" s="368"/>
      <c r="V53" s="368"/>
      <c r="W53" s="368"/>
      <c r="X53" s="368"/>
      <c r="Y53" s="368"/>
      <c r="Z53" s="368"/>
    </row>
    <row r="54" spans="2:26">
      <c r="B54" s="368"/>
      <c r="C54" s="368"/>
      <c r="D54" s="368"/>
      <c r="E54" s="368"/>
      <c r="F54" s="368"/>
      <c r="G54" s="368"/>
      <c r="H54" s="368"/>
      <c r="I54" s="368"/>
      <c r="J54" s="368"/>
      <c r="K54" s="368"/>
      <c r="L54" s="368"/>
      <c r="M54" s="368"/>
      <c r="N54" s="368"/>
      <c r="O54" s="368"/>
      <c r="P54" s="368"/>
      <c r="Q54" s="368"/>
      <c r="R54" s="368"/>
      <c r="S54" s="368"/>
      <c r="T54" s="368"/>
      <c r="U54" s="368"/>
      <c r="V54" s="368"/>
      <c r="W54" s="368"/>
      <c r="X54" s="368"/>
      <c r="Y54" s="368"/>
      <c r="Z54" s="368"/>
    </row>
    <row r="55" spans="2:26" ht="15.75">
      <c r="B55" s="368"/>
      <c r="C55" s="368"/>
      <c r="D55" s="830" t="s">
        <v>910</v>
      </c>
      <c r="E55" s="831">
        <f>'Age Pension Calculator'!V49</f>
        <v>500000</v>
      </c>
      <c r="F55" s="368"/>
      <c r="G55" s="368"/>
      <c r="H55" s="829" t="s">
        <v>295</v>
      </c>
      <c r="I55" s="806"/>
      <c r="J55" s="806"/>
      <c r="K55" s="368"/>
      <c r="L55" s="368"/>
      <c r="M55" s="368"/>
      <c r="N55" s="368"/>
      <c r="O55" s="368"/>
      <c r="P55" s="368"/>
      <c r="Q55" s="368"/>
      <c r="R55" s="368"/>
      <c r="S55" s="368"/>
      <c r="T55" s="368"/>
      <c r="U55" s="368"/>
      <c r="V55" s="368"/>
      <c r="W55" s="368"/>
      <c r="X55" s="368"/>
      <c r="Y55" s="368"/>
      <c r="Z55" s="368"/>
    </row>
    <row r="56" spans="2:26" ht="15.75">
      <c r="B56" s="368"/>
      <c r="C56" s="368"/>
      <c r="D56" s="368"/>
      <c r="E56" s="368"/>
      <c r="F56" s="368"/>
      <c r="G56" s="368"/>
      <c r="H56" s="505" t="s">
        <v>22</v>
      </c>
      <c r="I56" s="368"/>
      <c r="J56" s="807">
        <v>0</v>
      </c>
      <c r="K56" s="368"/>
      <c r="L56" s="368"/>
      <c r="M56" s="368"/>
      <c r="N56" s="368"/>
      <c r="O56" s="368"/>
      <c r="P56" s="368"/>
      <c r="Q56" s="368"/>
      <c r="R56" s="368"/>
      <c r="S56" s="368"/>
      <c r="T56" s="368"/>
      <c r="U56" s="368"/>
      <c r="V56" s="368"/>
      <c r="W56" s="368"/>
      <c r="X56" s="368"/>
      <c r="Y56" s="368"/>
      <c r="Z56" s="368"/>
    </row>
    <row r="57" spans="2:26" ht="15.75">
      <c r="B57" s="368"/>
      <c r="C57" s="368"/>
      <c r="D57" s="368"/>
      <c r="E57" s="368"/>
      <c r="F57" s="368"/>
      <c r="G57" s="368"/>
      <c r="H57" s="505" t="s">
        <v>23</v>
      </c>
      <c r="I57" s="368"/>
      <c r="J57" s="807">
        <v>0</v>
      </c>
      <c r="K57" s="368"/>
      <c r="L57" s="368"/>
      <c r="M57" s="368"/>
      <c r="N57" s="368"/>
      <c r="O57" s="368"/>
      <c r="P57" s="368"/>
      <c r="Q57" s="368"/>
      <c r="R57" s="368"/>
      <c r="S57" s="368"/>
      <c r="T57" s="368"/>
      <c r="U57" s="368"/>
      <c r="V57" s="368"/>
      <c r="W57" s="368"/>
      <c r="X57" s="368"/>
      <c r="Y57" s="368"/>
      <c r="Z57" s="368"/>
    </row>
    <row r="58" spans="2:26">
      <c r="B58" s="368"/>
      <c r="C58" s="368"/>
      <c r="D58" s="368"/>
      <c r="E58" s="368"/>
      <c r="F58" s="368"/>
      <c r="G58" s="368"/>
      <c r="H58" s="368"/>
      <c r="I58" s="368"/>
      <c r="J58" s="368"/>
      <c r="K58" s="368"/>
      <c r="L58" s="368"/>
      <c r="M58" s="368"/>
      <c r="N58" s="368"/>
      <c r="O58" s="368"/>
      <c r="P58" s="368"/>
      <c r="Q58" s="368"/>
      <c r="R58" s="368"/>
      <c r="S58" s="368"/>
      <c r="T58" s="368"/>
      <c r="U58" s="368"/>
      <c r="V58" s="368"/>
      <c r="W58" s="368"/>
      <c r="X58" s="368"/>
      <c r="Y58" s="368"/>
      <c r="Z58" s="368"/>
    </row>
    <row r="59" spans="2:26" ht="15.75">
      <c r="B59" s="368"/>
      <c r="C59" s="826" t="s">
        <v>945</v>
      </c>
      <c r="D59" s="826"/>
      <c r="E59" s="825"/>
      <c r="F59" s="825"/>
      <c r="G59" s="825"/>
      <c r="H59" s="825"/>
      <c r="I59" s="825"/>
      <c r="J59" s="825"/>
      <c r="K59" s="825"/>
      <c r="L59" s="825"/>
      <c r="M59" s="825"/>
      <c r="N59" s="825"/>
      <c r="O59" s="825"/>
      <c r="P59" s="368"/>
      <c r="Q59" s="368"/>
      <c r="R59" s="368"/>
      <c r="S59" s="368"/>
      <c r="T59" s="368"/>
      <c r="U59" s="368"/>
      <c r="V59" s="368"/>
      <c r="W59" s="368"/>
      <c r="X59" s="368"/>
      <c r="Y59" s="368"/>
      <c r="Z59" s="368"/>
    </row>
    <row r="60" spans="2:26">
      <c r="B60" s="368"/>
      <c r="C60" s="368"/>
      <c r="D60" s="368"/>
      <c r="E60" s="368"/>
      <c r="F60" s="368"/>
      <c r="G60" s="368"/>
      <c r="H60" s="368"/>
      <c r="I60" s="368"/>
      <c r="J60" s="368"/>
      <c r="K60" s="368"/>
      <c r="L60" s="368"/>
      <c r="M60" s="368"/>
      <c r="N60" s="368"/>
      <c r="O60" s="368"/>
      <c r="P60" s="368"/>
      <c r="Q60" s="368"/>
      <c r="R60" s="368"/>
      <c r="S60" s="368"/>
      <c r="T60" s="368"/>
      <c r="U60" s="368"/>
      <c r="V60" s="368"/>
      <c r="W60" s="368"/>
      <c r="X60" s="368"/>
      <c r="Y60" s="368"/>
      <c r="Z60" s="368"/>
    </row>
    <row r="61" spans="2:26" ht="15.75">
      <c r="B61" s="368"/>
      <c r="C61" s="368"/>
      <c r="D61" s="830" t="s">
        <v>910</v>
      </c>
      <c r="E61" s="831">
        <f>E55-J62-J63</f>
        <v>500000</v>
      </c>
      <c r="F61" s="368"/>
      <c r="G61" s="368"/>
      <c r="H61" s="829" t="s">
        <v>937</v>
      </c>
      <c r="I61" s="806"/>
      <c r="J61" s="806"/>
      <c r="K61" s="368"/>
      <c r="L61" s="368"/>
      <c r="M61" s="368"/>
      <c r="N61" s="368"/>
      <c r="O61" s="368"/>
      <c r="P61" s="368"/>
      <c r="Q61" s="368"/>
      <c r="R61" s="368"/>
      <c r="S61" s="368"/>
      <c r="T61" s="368"/>
      <c r="U61" s="368"/>
      <c r="V61" s="368"/>
      <c r="W61" s="368"/>
      <c r="X61" s="368"/>
      <c r="Y61" s="368"/>
      <c r="Z61" s="368"/>
    </row>
    <row r="62" spans="2:26" ht="15.75">
      <c r="B62" s="368"/>
      <c r="C62" s="368"/>
      <c r="D62" s="368"/>
      <c r="E62" s="368"/>
      <c r="F62" s="368"/>
      <c r="G62" s="368"/>
      <c r="H62" s="505" t="s">
        <v>22</v>
      </c>
      <c r="I62" s="368"/>
      <c r="J62" s="807">
        <f>IF('Age Pension Calculator'!AZ4="Account-Based Pension (super)",0,IF(E63="J",(APCAnnuityAllocation*'Admin Settings'!E55)/2,IF(E63="P1",APCAnnuityAllocation*'Admin Settings'!E55,0)))</f>
        <v>0</v>
      </c>
      <c r="K62" s="368"/>
      <c r="L62" s="368"/>
      <c r="M62" s="368"/>
      <c r="N62" s="368"/>
      <c r="O62" s="368"/>
      <c r="P62" s="368"/>
      <c r="Q62" s="368"/>
      <c r="R62" s="368"/>
      <c r="S62" s="368"/>
      <c r="T62" s="368"/>
      <c r="U62" s="368"/>
      <c r="V62" s="368"/>
      <c r="W62" s="368"/>
      <c r="X62" s="368"/>
      <c r="Y62" s="368"/>
      <c r="Z62" s="368"/>
    </row>
    <row r="63" spans="2:26" ht="15.75">
      <c r="B63" s="368"/>
      <c r="C63" s="368"/>
      <c r="D63" s="370" t="s">
        <v>902</v>
      </c>
      <c r="E63" s="828" t="str">
        <f>IF(Relationship="Couple",IF(Settings!N59="Jointly","J",IF(Settings!N59="by Person 1","P1","P2")),"P1")</f>
        <v>P1</v>
      </c>
      <c r="F63" s="368"/>
      <c r="G63" s="368"/>
      <c r="H63" s="820" t="s">
        <v>23</v>
      </c>
      <c r="I63" s="806"/>
      <c r="J63" s="907">
        <f>IF('Age Pension Calculator'!AZ4="Account-Based Pension (super)",0,IF(E63="J",(APCAnnuityAllocation*'Admin Settings'!E55)/2,IF(E63="P2",APCAnnuityAllocation*'Admin Settings'!E55,0)))</f>
        <v>0</v>
      </c>
      <c r="K63" s="368"/>
      <c r="L63" s="368"/>
      <c r="M63" s="368"/>
      <c r="N63" s="368"/>
      <c r="O63" s="368"/>
      <c r="P63" s="368"/>
      <c r="Q63" s="368"/>
      <c r="R63" s="368"/>
      <c r="S63" s="368"/>
      <c r="T63" s="368"/>
      <c r="U63" s="368"/>
      <c r="V63" s="368"/>
      <c r="W63" s="368"/>
      <c r="X63" s="368"/>
      <c r="Y63" s="368"/>
      <c r="Z63" s="368"/>
    </row>
    <row r="64" spans="2:26" ht="15.75">
      <c r="B64" s="368"/>
      <c r="C64" s="368"/>
      <c r="D64" s="827" t="s">
        <v>909</v>
      </c>
      <c r="E64" s="368"/>
      <c r="F64" s="368"/>
      <c r="G64" s="368"/>
      <c r="H64" s="368"/>
      <c r="I64" s="370" t="s">
        <v>79</v>
      </c>
      <c r="J64" s="906">
        <f>SUM(J62:J63)</f>
        <v>0</v>
      </c>
      <c r="K64" s="368"/>
      <c r="L64" s="368"/>
      <c r="M64" s="368"/>
      <c r="N64" s="368"/>
      <c r="O64" s="368"/>
      <c r="P64" s="368"/>
      <c r="Q64" s="368"/>
      <c r="R64" s="368"/>
      <c r="S64" s="368"/>
      <c r="T64" s="368"/>
      <c r="U64" s="368"/>
      <c r="V64" s="368"/>
      <c r="W64" s="368"/>
      <c r="X64" s="368"/>
      <c r="Y64" s="368"/>
      <c r="Z64" s="368"/>
    </row>
    <row r="65" spans="2:26">
      <c r="B65" s="368"/>
      <c r="C65" s="368"/>
      <c r="D65" s="368"/>
      <c r="E65" s="368"/>
      <c r="F65" s="368"/>
      <c r="G65" s="368"/>
      <c r="H65" s="368"/>
      <c r="I65" s="368"/>
      <c r="J65" s="368"/>
      <c r="K65" s="368"/>
      <c r="L65" s="368"/>
      <c r="M65" s="368"/>
      <c r="N65" s="368"/>
      <c r="O65" s="368"/>
      <c r="P65" s="368"/>
      <c r="Q65" s="368"/>
      <c r="R65" s="368"/>
      <c r="S65" s="368"/>
      <c r="T65" s="368"/>
      <c r="U65" s="368"/>
      <c r="V65" s="368"/>
      <c r="W65" s="368"/>
      <c r="X65" s="368"/>
      <c r="Y65" s="368"/>
      <c r="Z65" s="368"/>
    </row>
    <row r="66" spans="2:26">
      <c r="B66" s="368"/>
      <c r="C66" s="368"/>
      <c r="D66" s="368"/>
      <c r="E66" s="368"/>
      <c r="F66" s="368"/>
      <c r="G66" s="368"/>
      <c r="H66" s="368"/>
      <c r="I66" s="368"/>
      <c r="J66" s="368"/>
      <c r="K66" s="368"/>
      <c r="L66" s="368"/>
      <c r="M66" s="368"/>
      <c r="N66" s="368"/>
      <c r="O66" s="368"/>
      <c r="P66" s="368"/>
      <c r="Q66" s="368"/>
      <c r="R66" s="368"/>
      <c r="S66" s="368"/>
      <c r="T66" s="368"/>
      <c r="U66" s="368"/>
      <c r="V66" s="368"/>
      <c r="W66" s="368"/>
      <c r="X66" s="368"/>
      <c r="Y66" s="368"/>
      <c r="Z66" s="368"/>
    </row>
    <row r="67" spans="2:26" ht="18">
      <c r="B67" s="840" t="s">
        <v>914</v>
      </c>
      <c r="C67" s="841"/>
      <c r="D67" s="841"/>
      <c r="E67" s="841"/>
      <c r="F67" s="841"/>
      <c r="G67" s="841"/>
      <c r="H67" s="841"/>
      <c r="I67" s="841"/>
      <c r="J67" s="841"/>
      <c r="K67" s="841"/>
      <c r="L67" s="841"/>
      <c r="M67" s="841"/>
      <c r="N67" s="841"/>
      <c r="O67" s="841"/>
      <c r="P67" s="841"/>
      <c r="Q67" s="841"/>
      <c r="R67" s="841"/>
      <c r="S67" s="841"/>
      <c r="T67" s="841"/>
      <c r="U67" s="841"/>
      <c r="V67" s="841"/>
      <c r="W67" s="841"/>
      <c r="X67" s="841"/>
      <c r="Y67" s="841"/>
      <c r="Z67" s="841"/>
    </row>
    <row r="68" spans="2:26" ht="15.75">
      <c r="B68" s="368" t="s">
        <v>925</v>
      </c>
      <c r="C68" s="368"/>
      <c r="D68" s="368"/>
      <c r="E68" s="808"/>
      <c r="F68" s="808"/>
      <c r="G68" s="808"/>
      <c r="H68" s="808"/>
      <c r="I68" s="368"/>
      <c r="J68" s="368"/>
      <c r="K68" s="368"/>
      <c r="L68" s="368"/>
      <c r="M68" s="368"/>
      <c r="N68" s="368"/>
      <c r="O68" s="368"/>
      <c r="P68" s="368"/>
      <c r="Q68" s="368"/>
      <c r="R68" s="368"/>
      <c r="S68" s="368"/>
      <c r="T68" s="368"/>
      <c r="U68" s="368"/>
      <c r="V68" s="368"/>
      <c r="W68" s="368"/>
      <c r="X68" s="368"/>
      <c r="Y68" s="368"/>
      <c r="Z68" s="368"/>
    </row>
    <row r="69" spans="2:26">
      <c r="B69" s="368"/>
      <c r="C69" s="368"/>
      <c r="D69" s="368"/>
      <c r="E69" s="368"/>
      <c r="F69" s="368"/>
      <c r="G69" s="368"/>
      <c r="H69" s="368"/>
      <c r="I69" s="368"/>
      <c r="J69" s="368"/>
      <c r="K69" s="368"/>
      <c r="L69" s="368"/>
      <c r="M69" s="368"/>
      <c r="N69" s="368"/>
      <c r="O69" s="368"/>
      <c r="P69" s="368"/>
      <c r="Q69" s="368"/>
      <c r="R69" s="368"/>
      <c r="S69" s="368"/>
      <c r="T69" s="368"/>
      <c r="U69" s="368"/>
      <c r="V69" s="368"/>
      <c r="W69" s="368"/>
      <c r="X69" s="368"/>
      <c r="Y69" s="368"/>
      <c r="Z69" s="368"/>
    </row>
    <row r="70" spans="2:26" ht="18.75">
      <c r="B70" s="368"/>
      <c r="C70" s="368"/>
      <c r="D70" s="839" t="str">
        <f>IF(Relationship="Couple","Couple (combined)","Single person")</f>
        <v>Couple (combined)</v>
      </c>
      <c r="E70" s="56"/>
      <c r="F70" s="56"/>
      <c r="G70" s="56"/>
      <c r="H70" s="385"/>
      <c r="I70" s="830" t="s">
        <v>913</v>
      </c>
      <c r="J70" s="368"/>
      <c r="K70" s="368"/>
      <c r="L70" s="368"/>
      <c r="M70" s="368"/>
      <c r="N70" s="368"/>
      <c r="O70" s="368"/>
      <c r="P70" s="368"/>
      <c r="Q70" s="368"/>
      <c r="R70" s="368"/>
      <c r="S70" s="368"/>
      <c r="T70" s="368"/>
      <c r="U70" s="368"/>
      <c r="V70" s="368"/>
      <c r="W70" s="368"/>
      <c r="X70" s="368"/>
      <c r="Y70" s="368"/>
      <c r="Z70" s="368"/>
    </row>
    <row r="71" spans="2:26" ht="14.25" customHeight="1">
      <c r="B71" s="368"/>
      <c r="C71" s="368"/>
      <c r="D71" s="1569" t="s">
        <v>522</v>
      </c>
      <c r="E71" s="1570"/>
      <c r="F71" s="833">
        <f>'Deterministic Output'!A3</f>
        <v>2308.3619178082195</v>
      </c>
      <c r="G71" s="384"/>
      <c r="H71" s="385"/>
      <c r="I71" s="513" t="s">
        <v>912</v>
      </c>
      <c r="J71" s="513" t="s">
        <v>911</v>
      </c>
      <c r="K71" s="368"/>
      <c r="L71" s="368"/>
      <c r="M71" s="368"/>
      <c r="N71" s="368"/>
      <c r="O71" s="368"/>
      <c r="P71" s="368"/>
      <c r="Q71" s="368"/>
      <c r="R71" s="368"/>
      <c r="S71" s="368"/>
      <c r="T71" s="368"/>
      <c r="U71" s="368"/>
      <c r="V71" s="368"/>
      <c r="W71" s="368"/>
      <c r="X71" s="368"/>
      <c r="Y71" s="368"/>
      <c r="Z71" s="368"/>
    </row>
    <row r="72" spans="2:26" ht="15.75">
      <c r="B72" s="368"/>
      <c r="C72" s="368"/>
      <c r="D72" s="1569" t="s">
        <v>523</v>
      </c>
      <c r="E72" s="1570"/>
      <c r="F72" s="833">
        <f>IF(Relationship="Couple",26*SocialSecuritySettings!B50,(26*SocialSecuritySettings!B50)*SingleProportion)</f>
        <v>34382.400000000001</v>
      </c>
      <c r="G72" s="384"/>
      <c r="H72" s="385"/>
      <c r="I72" s="852">
        <f>1-J72</f>
        <v>0.64485027223230484</v>
      </c>
      <c r="J72" s="852">
        <f>F73/F74</f>
        <v>0.3551497277676951</v>
      </c>
      <c r="K72" s="368"/>
      <c r="L72" s="368"/>
      <c r="M72" s="368"/>
      <c r="N72" s="368"/>
      <c r="O72" s="368"/>
      <c r="P72" s="368"/>
      <c r="Q72" s="368"/>
      <c r="R72" s="368"/>
      <c r="S72" s="368"/>
      <c r="T72" s="368"/>
      <c r="U72" s="368"/>
      <c r="V72" s="368"/>
      <c r="W72" s="368"/>
      <c r="X72" s="368"/>
      <c r="Y72" s="368"/>
      <c r="Z72" s="368"/>
    </row>
    <row r="73" spans="2:26" ht="15.75">
      <c r="B73" s="368"/>
      <c r="C73" s="368"/>
      <c r="D73" s="1569" t="s">
        <v>650</v>
      </c>
      <c r="E73" s="1570"/>
      <c r="F73" s="838">
        <f>'Test Sheet'!AG21/26</f>
        <v>469.65000000000003</v>
      </c>
      <c r="G73" s="384"/>
      <c r="H73" s="368"/>
      <c r="I73" s="368"/>
      <c r="J73" s="368"/>
      <c r="K73" s="368"/>
      <c r="L73" s="368"/>
      <c r="M73" s="368"/>
      <c r="N73" s="368"/>
      <c r="O73" s="368"/>
      <c r="P73" s="368"/>
      <c r="Q73" s="368"/>
      <c r="R73" s="368"/>
      <c r="S73" s="368"/>
      <c r="T73" s="368"/>
      <c r="U73" s="368"/>
      <c r="V73" s="368"/>
      <c r="W73" s="368"/>
      <c r="X73" s="368"/>
      <c r="Y73" s="368"/>
      <c r="Z73" s="368"/>
    </row>
    <row r="74" spans="2:26" ht="15.75">
      <c r="B74" s="368"/>
      <c r="C74" s="368"/>
      <c r="D74" s="1569" t="s">
        <v>651</v>
      </c>
      <c r="E74" s="1570"/>
      <c r="F74" s="835">
        <f>F72/26</f>
        <v>1322.4</v>
      </c>
      <c r="G74" s="834">
        <v>1</v>
      </c>
      <c r="H74" s="368"/>
      <c r="I74" s="368"/>
      <c r="J74" s="368"/>
      <c r="K74" s="368"/>
      <c r="L74" s="368"/>
      <c r="M74" s="368"/>
      <c r="N74" s="368"/>
      <c r="O74" s="368"/>
      <c r="P74" s="368"/>
      <c r="Q74" s="368"/>
      <c r="R74" s="368"/>
      <c r="S74" s="368"/>
      <c r="T74" s="368"/>
      <c r="U74" s="368"/>
      <c r="V74" s="368"/>
      <c r="W74" s="368"/>
      <c r="X74" s="368"/>
      <c r="Y74" s="368"/>
      <c r="Z74" s="368"/>
    </row>
    <row r="75" spans="2:26">
      <c r="B75" s="368"/>
      <c r="C75" s="368"/>
      <c r="D75" s="368"/>
      <c r="E75" s="368"/>
      <c r="F75" s="368"/>
      <c r="G75" s="368"/>
      <c r="H75" s="368"/>
      <c r="I75" s="368"/>
      <c r="J75" s="368"/>
      <c r="K75" s="368"/>
      <c r="L75" s="368"/>
      <c r="M75" s="368"/>
      <c r="N75" s="368"/>
      <c r="O75" s="368"/>
      <c r="P75" s="368"/>
      <c r="Q75" s="368"/>
      <c r="R75" s="368"/>
      <c r="S75" s="368"/>
      <c r="T75" s="368"/>
      <c r="U75" s="368"/>
      <c r="V75" s="368"/>
      <c r="W75" s="368"/>
      <c r="X75" s="368"/>
      <c r="Y75" s="368"/>
      <c r="Z75" s="368"/>
    </row>
    <row r="76" spans="2:26" ht="15.75">
      <c r="B76" s="368"/>
      <c r="C76" s="368"/>
      <c r="D76" s="57"/>
      <c r="E76" s="57"/>
      <c r="F76" s="57"/>
      <c r="G76" s="57"/>
      <c r="H76" s="57"/>
      <c r="I76" s="368"/>
      <c r="J76" s="368"/>
      <c r="K76" s="368"/>
      <c r="L76" s="368"/>
      <c r="M76" s="368"/>
      <c r="N76" s="368"/>
      <c r="O76" s="368"/>
      <c r="P76" s="368"/>
      <c r="Q76" s="368"/>
      <c r="R76" s="368"/>
      <c r="S76" s="368"/>
      <c r="T76" s="368"/>
      <c r="U76" s="368"/>
      <c r="V76" s="368"/>
      <c r="W76" s="368"/>
      <c r="X76" s="368"/>
      <c r="Y76" s="368"/>
      <c r="Z76" s="368"/>
    </row>
    <row r="77" spans="2:26" ht="18">
      <c r="B77" s="840" t="s">
        <v>1148</v>
      </c>
      <c r="C77" s="841"/>
      <c r="D77" s="841"/>
      <c r="E77" s="841"/>
      <c r="F77" s="841"/>
      <c r="G77" s="841"/>
      <c r="H77" s="841"/>
      <c r="I77" s="841"/>
      <c r="J77" s="841"/>
      <c r="K77" s="841"/>
      <c r="L77" s="841"/>
      <c r="M77" s="841"/>
      <c r="N77" s="841"/>
      <c r="O77" s="841"/>
      <c r="P77" s="841"/>
      <c r="Q77" s="841"/>
      <c r="R77" s="841"/>
      <c r="S77" s="841"/>
      <c r="T77" s="841"/>
      <c r="U77" s="841"/>
      <c r="V77" s="841"/>
      <c r="W77" s="841"/>
      <c r="X77" s="841"/>
      <c r="Y77" s="841"/>
      <c r="Z77" s="841"/>
    </row>
    <row r="78" spans="2:26">
      <c r="B78" s="368"/>
      <c r="C78" s="368"/>
      <c r="D78" s="368"/>
      <c r="E78" s="368"/>
      <c r="F78" s="368"/>
      <c r="G78" s="368"/>
      <c r="H78" s="368"/>
      <c r="I78" s="368"/>
      <c r="J78" s="368"/>
      <c r="K78" s="368"/>
      <c r="L78" s="368"/>
      <c r="M78" s="368"/>
      <c r="N78" s="368"/>
      <c r="O78" s="368"/>
      <c r="P78" s="368"/>
      <c r="Q78" s="368"/>
      <c r="R78" s="368"/>
      <c r="S78" s="368"/>
      <c r="T78" s="368"/>
      <c r="U78" s="368"/>
      <c r="V78" s="368"/>
      <c r="W78" s="368"/>
      <c r="X78" s="368"/>
      <c r="Y78" s="368"/>
      <c r="Z78" s="368"/>
    </row>
    <row r="79" spans="2:26" ht="63">
      <c r="B79" s="368"/>
      <c r="C79" s="368"/>
      <c r="D79" s="861" t="s">
        <v>934</v>
      </c>
      <c r="E79" s="57"/>
      <c r="F79" s="853" t="s">
        <v>3</v>
      </c>
      <c r="G79" s="853" t="s">
        <v>431</v>
      </c>
      <c r="H79" s="856" t="s">
        <v>519</v>
      </c>
      <c r="I79" s="856" t="s">
        <v>664</v>
      </c>
      <c r="J79" s="856" t="s">
        <v>490</v>
      </c>
      <c r="K79" s="853" t="s">
        <v>923</v>
      </c>
      <c r="L79" s="853" t="s">
        <v>423</v>
      </c>
      <c r="M79" s="853" t="s">
        <v>696</v>
      </c>
      <c r="N79" s="853" t="s">
        <v>928</v>
      </c>
      <c r="O79" s="856" t="s">
        <v>935</v>
      </c>
      <c r="P79" s="853" t="s">
        <v>939</v>
      </c>
      <c r="Q79" s="368"/>
      <c r="R79" s="368"/>
      <c r="S79" s="368"/>
      <c r="T79" s="368"/>
      <c r="U79" s="368"/>
      <c r="V79" s="368"/>
      <c r="W79" s="368"/>
      <c r="X79" s="368"/>
      <c r="Y79" s="368"/>
      <c r="Z79" s="368"/>
    </row>
    <row r="80" spans="2:26" ht="15.75">
      <c r="B80" s="368"/>
      <c r="C80" s="368"/>
      <c r="D80" s="866" t="s">
        <v>926</v>
      </c>
      <c r="E80" s="862" t="s">
        <v>22</v>
      </c>
      <c r="F80" s="872">
        <f ca="1">IF(OR(J25="Person 1 only",J25="Person 2 only"),'Admin Settings'!R5,'Admin Settings'!G5)</f>
        <v>66</v>
      </c>
      <c r="G80" s="872" t="str">
        <f ca="1">IF(OR(J25="Person 1 only",J25="Person 2 only"),S5,'Admin Settings'!H5)</f>
        <v>M</v>
      </c>
      <c r="H80" s="872" t="str">
        <f>Settings!C26</f>
        <v>No</v>
      </c>
      <c r="I80" s="872" t="str">
        <f>Settings!F26</f>
        <v>Regular income</v>
      </c>
      <c r="J80" s="872">
        <f>Settings!B26</f>
        <v>15</v>
      </c>
      <c r="K80" s="880">
        <f ca="1">Settings!N26</f>
        <v>0.75</v>
      </c>
      <c r="L80" s="872">
        <f>IF(Settings!L26="Nil",0,-0.02)</f>
        <v>0</v>
      </c>
      <c r="M80" s="881">
        <f>Settings!J26</f>
        <v>2.1999999999999999E-2</v>
      </c>
      <c r="N80" s="882">
        <f>Settings!H26</f>
        <v>0</v>
      </c>
      <c r="O80" s="882" t="str">
        <f>Settings!A26</f>
        <v>Monthly</v>
      </c>
      <c r="P80" s="882">
        <f ca="1">IF(OR(F80&lt;60,F80&gt;79),0,'Regular income pricing'!Q3)</f>
        <v>5000.04</v>
      </c>
      <c r="Q80" s="368"/>
      <c r="R80" s="368"/>
      <c r="S80" s="368"/>
      <c r="T80" s="368"/>
      <c r="U80" s="368"/>
      <c r="V80" s="368"/>
      <c r="W80" s="368"/>
      <c r="X80" s="368"/>
      <c r="Y80" s="368"/>
      <c r="Z80" s="368"/>
    </row>
    <row r="81" spans="2:26" ht="15.75">
      <c r="B81" s="368"/>
      <c r="C81" s="368"/>
      <c r="D81" s="408"/>
      <c r="E81" s="862" t="s">
        <v>23</v>
      </c>
      <c r="F81" s="872">
        <f ca="1">IF(OR(J26="Person 1 only",J26="Person 2 only"),R6,'Admin Settings'!G6)</f>
        <v>66</v>
      </c>
      <c r="G81" s="872" t="str">
        <f ca="1">IF(OR(J26="Person 1 only",J26="Person 2 only"),S6,'Admin Settings'!H6)</f>
        <v>M</v>
      </c>
      <c r="H81" s="872" t="str">
        <f>Settings!C26</f>
        <v>No</v>
      </c>
      <c r="I81" s="872" t="str">
        <f>Settings!F26</f>
        <v>Regular income</v>
      </c>
      <c r="J81" s="872">
        <f>Settings!B26</f>
        <v>15</v>
      </c>
      <c r="K81" s="880">
        <f ca="1">Settings!P26</f>
        <v>0.75</v>
      </c>
      <c r="L81" s="872">
        <f>IF(Settings!L26="Nil",0,-0.02)</f>
        <v>0</v>
      </c>
      <c r="M81" s="881">
        <f>Settings!J26</f>
        <v>2.1999999999999999E-2</v>
      </c>
      <c r="N81" s="882">
        <f>Settings!H26</f>
        <v>0</v>
      </c>
      <c r="O81" s="882" t="str">
        <f>Settings!A26</f>
        <v>Monthly</v>
      </c>
      <c r="P81" s="882">
        <f ca="1">IF(OR(F81&lt;60,F81&gt;79),0,'Regular income pricing'!Q4)</f>
        <v>5000.04</v>
      </c>
      <c r="Q81" s="368"/>
      <c r="R81" s="368"/>
      <c r="S81" s="368"/>
      <c r="T81" s="368"/>
      <c r="U81" s="368"/>
      <c r="V81" s="368"/>
      <c r="W81" s="368"/>
      <c r="X81" s="368"/>
      <c r="Y81" s="368"/>
      <c r="Z81" s="368"/>
    </row>
    <row r="82" spans="2:26" ht="15.75">
      <c r="B82" s="368"/>
      <c r="C82" s="368"/>
      <c r="D82" s="864"/>
      <c r="E82" s="60"/>
      <c r="F82" s="60"/>
      <c r="G82" s="60"/>
      <c r="H82" s="60"/>
      <c r="I82" s="60"/>
      <c r="J82" s="60"/>
      <c r="K82" s="60"/>
      <c r="L82" s="60"/>
      <c r="M82" s="60"/>
      <c r="N82" s="60"/>
      <c r="O82" s="60"/>
      <c r="P82" s="60"/>
      <c r="Q82" s="368"/>
      <c r="R82" s="905" t="s">
        <v>943</v>
      </c>
      <c r="S82" s="902"/>
      <c r="T82" s="903"/>
      <c r="U82" s="368"/>
      <c r="V82" s="905" t="s">
        <v>944</v>
      </c>
      <c r="W82" s="902"/>
      <c r="X82" s="903"/>
      <c r="Y82" s="368"/>
      <c r="Z82" s="368"/>
    </row>
    <row r="83" spans="2:26" ht="15.75" customHeight="1">
      <c r="B83" s="368"/>
      <c r="C83" s="368"/>
      <c r="D83" s="866" t="s">
        <v>927</v>
      </c>
      <c r="E83" s="862" t="s">
        <v>22</v>
      </c>
      <c r="F83" s="872">
        <f ca="1">F80</f>
        <v>66</v>
      </c>
      <c r="G83" s="872" t="str">
        <f ca="1">G80</f>
        <v>M</v>
      </c>
      <c r="H83" s="872" t="str">
        <f>Settings!C31</f>
        <v>No</v>
      </c>
      <c r="I83" s="872" t="str">
        <f>Settings!N31</f>
        <v>Regular income</v>
      </c>
      <c r="J83" s="872">
        <f>Settings!B31</f>
        <v>15</v>
      </c>
      <c r="K83" s="880">
        <f>Settings!P31</f>
        <v>0.75</v>
      </c>
      <c r="L83" s="872">
        <f>IF(Settings!L31="Nil",0,Settings!L31)</f>
        <v>0</v>
      </c>
      <c r="M83" s="881">
        <f>Settings!J31</f>
        <v>0</v>
      </c>
      <c r="N83" s="882">
        <f>Settings!H31</f>
        <v>0</v>
      </c>
      <c r="O83" s="882" t="str">
        <f>Settings!A31</f>
        <v>Monthly</v>
      </c>
      <c r="P83" s="882">
        <f>Settings!R31</f>
        <v>5000</v>
      </c>
      <c r="Q83" s="368"/>
      <c r="R83" s="1568" t="s">
        <v>899</v>
      </c>
      <c r="S83" s="1568"/>
      <c r="T83" s="1568"/>
      <c r="U83" s="368"/>
      <c r="V83" s="1568" t="s">
        <v>900</v>
      </c>
      <c r="W83" s="1568"/>
      <c r="X83" s="1568"/>
      <c r="Y83" s="368"/>
      <c r="Z83" s="368"/>
    </row>
    <row r="84" spans="2:26" ht="15.75">
      <c r="B84" s="368"/>
      <c r="C84" s="368"/>
      <c r="D84" s="864"/>
      <c r="E84" s="862" t="s">
        <v>23</v>
      </c>
      <c r="F84" s="872">
        <f ca="1">F81</f>
        <v>66</v>
      </c>
      <c r="G84" s="872" t="str">
        <f ca="1">G81</f>
        <v>M</v>
      </c>
      <c r="H84" s="872" t="str">
        <f>Settings!C33</f>
        <v>No</v>
      </c>
      <c r="I84" s="872" t="str">
        <f>Settings!N33</f>
        <v>Regular income</v>
      </c>
      <c r="J84" s="872">
        <f>Settings!B33</f>
        <v>15</v>
      </c>
      <c r="K84" s="880">
        <f>Settings!P33</f>
        <v>0.75</v>
      </c>
      <c r="L84" s="872">
        <f>IF(Settings!L33="Nil",0,Settings!L33)</f>
        <v>0</v>
      </c>
      <c r="M84" s="881">
        <f>Settings!J33</f>
        <v>0</v>
      </c>
      <c r="N84" s="882">
        <f>Settings!H33</f>
        <v>0</v>
      </c>
      <c r="O84" s="882" t="str">
        <f>Settings!A33</f>
        <v>Monthly</v>
      </c>
      <c r="P84" s="882">
        <f>Settings!R33</f>
        <v>5000</v>
      </c>
      <c r="Q84" s="368"/>
      <c r="R84" s="1568"/>
      <c r="S84" s="1568"/>
      <c r="T84" s="1568"/>
      <c r="U84" s="368"/>
      <c r="V84" s="1568"/>
      <c r="W84" s="1568"/>
      <c r="X84" s="1568"/>
      <c r="Y84" s="368"/>
      <c r="Z84" s="368"/>
    </row>
    <row r="85" spans="2:26" ht="63">
      <c r="B85" s="368"/>
      <c r="C85" s="368"/>
      <c r="D85" s="57"/>
      <c r="E85" s="837"/>
      <c r="F85" s="883"/>
      <c r="G85" s="883"/>
      <c r="H85" s="883"/>
      <c r="I85" s="883"/>
      <c r="J85" s="883"/>
      <c r="K85" s="884"/>
      <c r="L85" s="883"/>
      <c r="M85" s="885"/>
      <c r="N85" s="886"/>
      <c r="O85" s="886"/>
      <c r="P85" s="224"/>
      <c r="Q85" s="368"/>
      <c r="R85" s="904" t="s">
        <v>938</v>
      </c>
      <c r="S85" s="904" t="s">
        <v>940</v>
      </c>
      <c r="T85" s="904" t="s">
        <v>941</v>
      </c>
      <c r="U85" s="368"/>
      <c r="V85" s="904" t="s">
        <v>938</v>
      </c>
      <c r="W85" s="904" t="s">
        <v>940</v>
      </c>
      <c r="X85" s="904" t="s">
        <v>941</v>
      </c>
      <c r="Y85" s="370" t="s">
        <v>1190</v>
      </c>
      <c r="Z85" s="368"/>
    </row>
    <row r="86" spans="2:26" ht="18.75">
      <c r="B86" s="368"/>
      <c r="C86" s="368"/>
      <c r="D86" s="867" t="s">
        <v>551</v>
      </c>
      <c r="E86" s="865" t="s">
        <v>22</v>
      </c>
      <c r="F86" s="878">
        <f ca="1">IF(Settings!$T$26="No",F80,F83)</f>
        <v>66</v>
      </c>
      <c r="G86" s="878" t="str">
        <f ca="1">IF(Settings!$T$26="No",G80,G83)</f>
        <v>M</v>
      </c>
      <c r="H86" s="878" t="str">
        <f>IF(Settings!$T$26="No",H80,H83)</f>
        <v>No</v>
      </c>
      <c r="I86" s="878" t="str">
        <f>IF(Settings!$T$26="No",I80,I83)</f>
        <v>Regular income</v>
      </c>
      <c r="J86" s="878">
        <f>IF(Settings!$T$26="No",J80,J83)</f>
        <v>15</v>
      </c>
      <c r="K86" s="887">
        <f ca="1">IF(Settings!$T$26="No",K80,K83)</f>
        <v>0.75</v>
      </c>
      <c r="L86" s="878">
        <f>IF(Settings!$T$26="No",IF(L80=0,0,IF(L80=-0.02,"Partial CPI",CPI)),L83)</f>
        <v>0</v>
      </c>
      <c r="M86" s="888">
        <f>IF(Settings!$T$26="No",M80,M83)</f>
        <v>2.1999999999999999E-2</v>
      </c>
      <c r="N86" s="889">
        <f>IF(Settings!$T$26="No",N80,N83)</f>
        <v>0</v>
      </c>
      <c r="O86" s="888" t="str">
        <f>IF(Settings!$T$26="No",O80,O83)</f>
        <v>Monthly</v>
      </c>
      <c r="P86" s="889">
        <f ca="1">IF(Settings!$T$26="No",P80,P83)</f>
        <v>5000.04</v>
      </c>
      <c r="Q86" s="368"/>
      <c r="R86" s="889">
        <f>H25+J56</f>
        <v>0</v>
      </c>
      <c r="S86" s="889">
        <f ca="1">P86/100000</f>
        <v>5.00004E-2</v>
      </c>
      <c r="T86" s="889">
        <f ca="1">S86*R86</f>
        <v>0</v>
      </c>
      <c r="U86" s="368"/>
      <c r="V86" s="889">
        <f>'Admin Settings'!J62+'Admin Settings'!H38</f>
        <v>100000</v>
      </c>
      <c r="W86" s="889">
        <f ca="1">P86/100000</f>
        <v>5.00004E-2</v>
      </c>
      <c r="X86" s="889">
        <f ca="1">W86*V86</f>
        <v>5000.04</v>
      </c>
      <c r="Y86" s="1128" t="str">
        <f ca="1">IF(AnnuityMoney="Account-Based Pension (super)",IF(AnnuityMoney="Account-Based Pension (super)",IF(Relationship="Single","Person 1",IF(J25="Person 1 only","Person 1",IF(J25="Person 2 only","Person 2","Person 1")))),IF(AnnuityMoney="Term deposit/cash (non-super)",IF(Relationship="Single","Person 1",IF(Settings!N59="by Person 1","Person 1",IF(Settings!N59="by Person 2","Person 2","Person 1")))))</f>
        <v>Person 1</v>
      </c>
      <c r="Z86" s="368"/>
    </row>
    <row r="87" spans="2:26" ht="15.75">
      <c r="B87" s="368"/>
      <c r="C87" s="368"/>
      <c r="D87" s="863" t="str">
        <f>IF(Settings!$T$26="No","Inbuilt","Custom")</f>
        <v>Inbuilt</v>
      </c>
      <c r="E87" s="865" t="s">
        <v>23</v>
      </c>
      <c r="F87" s="878">
        <f ca="1">IF(Settings!$T$26="No",F81,F84)</f>
        <v>66</v>
      </c>
      <c r="G87" s="878" t="str">
        <f ca="1">IF(Settings!$T$26="No",G81,G84)</f>
        <v>M</v>
      </c>
      <c r="H87" s="878" t="str">
        <f>IF(Settings!$T$26="No",H81,H84)</f>
        <v>No</v>
      </c>
      <c r="I87" s="878" t="str">
        <f>IF(Settings!$T$26="No",I81,I84)</f>
        <v>Regular income</v>
      </c>
      <c r="J87" s="878">
        <f>IF(Settings!$T$26="No",J81,J84)</f>
        <v>15</v>
      </c>
      <c r="K87" s="887">
        <f ca="1">IF(Settings!$T$26="No",K81,K84)</f>
        <v>0.75</v>
      </c>
      <c r="L87" s="878">
        <f>IF(Settings!$T$26="No",IF(L81=0,0,IF(L81=-0.02,"Partial CPI",CPI)),L84)</f>
        <v>0</v>
      </c>
      <c r="M87" s="888">
        <f>IF(Settings!$T$26="No",M81,M84)</f>
        <v>2.1999999999999999E-2</v>
      </c>
      <c r="N87" s="889">
        <f>IF(Settings!$T$26="No",N81,N84)</f>
        <v>0</v>
      </c>
      <c r="O87" s="888" t="str">
        <f>IF(Settings!$T$26="No",O81,O84)</f>
        <v>Monthly</v>
      </c>
      <c r="P87" s="889">
        <f ca="1">IF(Relationship="Single",0,IF(Settings!$T$26="No",P81,P84))</f>
        <v>5000.04</v>
      </c>
      <c r="Q87" s="368"/>
      <c r="R87" s="889">
        <f>IF(Relationship="Couple",H26+J57,0)</f>
        <v>0</v>
      </c>
      <c r="S87" s="889">
        <f ca="1">P87/100000</f>
        <v>5.00004E-2</v>
      </c>
      <c r="T87" s="889">
        <f ca="1">S87*R87</f>
        <v>0</v>
      </c>
      <c r="U87" s="368"/>
      <c r="V87" s="889">
        <f>IF(Relationship="Couple",H39+J63,0)</f>
        <v>75000</v>
      </c>
      <c r="W87" s="889">
        <f ca="1">P87/100000</f>
        <v>5.00004E-2</v>
      </c>
      <c r="X87" s="889">
        <f ca="1">W87*V87</f>
        <v>3750.03</v>
      </c>
      <c r="Y87" s="1128" t="str">
        <f ca="1">IF(AnnuityMoney="Account-Based Pension (super)",IF(AnnuityMoney="Account-Based Pension (super)",IF(Relationship="Single","",IF(J26="Person 1 only","Person 1",IF(J26="Person 2 only","Person 2","Person 2")))),IF(AnnuityMoney="Term deposit/cash (non-super)",IF(Relationship="Single","",IF(Settings!N59="by Person 1","Person 1",IF(Settings!N59="by Person 2","Person 2","Person 2")))))</f>
        <v>Person 1</v>
      </c>
      <c r="Z87" s="368"/>
    </row>
    <row r="88" spans="2:26">
      <c r="B88" s="368"/>
      <c r="C88" s="368"/>
      <c r="D88" s="368"/>
      <c r="E88" s="368"/>
      <c r="F88" s="368"/>
      <c r="G88" s="368"/>
      <c r="H88" s="368"/>
      <c r="I88" s="368"/>
      <c r="J88" s="368"/>
      <c r="K88" s="368"/>
      <c r="L88" s="368"/>
      <c r="M88" s="368"/>
      <c r="N88" s="368"/>
      <c r="O88" s="368"/>
      <c r="P88" s="368"/>
      <c r="Q88" s="368"/>
      <c r="R88" s="368"/>
      <c r="S88" s="368"/>
      <c r="T88" s="368"/>
      <c r="U88" s="368"/>
      <c r="V88" s="368"/>
      <c r="W88" s="368"/>
      <c r="X88" s="368"/>
      <c r="Y88" s="368"/>
      <c r="Z88" s="368"/>
    </row>
    <row r="89" spans="2:26" ht="47.25">
      <c r="B89" s="368"/>
      <c r="C89" s="368"/>
      <c r="D89" s="871" t="s">
        <v>66</v>
      </c>
      <c r="E89" s="56"/>
      <c r="F89" s="837" t="s">
        <v>66</v>
      </c>
      <c r="G89" s="837" t="s">
        <v>92</v>
      </c>
      <c r="H89" s="859" t="s">
        <v>189</v>
      </c>
      <c r="I89" s="853" t="s">
        <v>696</v>
      </c>
      <c r="J89" s="853" t="s">
        <v>928</v>
      </c>
      <c r="K89" s="853" t="s">
        <v>519</v>
      </c>
      <c r="L89" s="859" t="s">
        <v>537</v>
      </c>
      <c r="M89" s="859" t="s">
        <v>416</v>
      </c>
      <c r="N89" s="859" t="s">
        <v>538</v>
      </c>
      <c r="O89" s="368"/>
      <c r="P89" s="368"/>
      <c r="Q89" s="368"/>
      <c r="R89" s="368"/>
      <c r="S89" s="368"/>
      <c r="T89" s="368"/>
      <c r="U89" s="368"/>
      <c r="V89" s="368"/>
      <c r="W89" s="368"/>
      <c r="X89" s="368"/>
      <c r="Y89" s="368"/>
      <c r="Z89" s="368"/>
    </row>
    <row r="90" spans="2:26" ht="15.75">
      <c r="B90" s="368"/>
      <c r="C90" s="368"/>
      <c r="D90" s="866" t="s">
        <v>926</v>
      </c>
      <c r="E90" s="873" t="str">
        <f>E80</f>
        <v>Person 1</v>
      </c>
      <c r="F90" s="875">
        <f>Settings!P40</f>
        <v>15</v>
      </c>
      <c r="G90" s="876" t="str">
        <f>Settings!L40</f>
        <v>Nil</v>
      </c>
      <c r="H90" s="879">
        <f>Settings!F40</f>
        <v>0</v>
      </c>
      <c r="I90" s="881">
        <f>Settings!J40</f>
        <v>0</v>
      </c>
      <c r="J90" s="882">
        <f>Settings!H40</f>
        <v>0</v>
      </c>
      <c r="K90" s="882" t="str">
        <f>Settings!N40</f>
        <v>No</v>
      </c>
      <c r="L90" s="877">
        <f>IF(G90="CPI",'Term Pricing'!L4,'Term Pricing'!N4)</f>
        <v>8833.3127501759154</v>
      </c>
      <c r="M90" s="874">
        <f>IF(L90="CPI",'Term Pricing'!M4,'Term Pricing'!O4)</f>
        <v>3.9999999999999994E-2</v>
      </c>
      <c r="N90" s="875" t="str">
        <f ca="1">IF(L90&gt;=('Admin Settings'!$E$11*100000),"Y","N")</f>
        <v>Y</v>
      </c>
      <c r="O90" s="368"/>
      <c r="P90" s="368"/>
      <c r="Q90" s="368"/>
      <c r="R90" s="368"/>
      <c r="S90" s="368"/>
      <c r="T90" s="368"/>
      <c r="U90" s="368"/>
      <c r="V90" s="368"/>
      <c r="W90" s="368"/>
      <c r="X90" s="368"/>
      <c r="Y90" s="368"/>
      <c r="Z90" s="368"/>
    </row>
    <row r="91" spans="2:26" ht="15.75">
      <c r="B91" s="368"/>
      <c r="C91" s="368"/>
      <c r="D91" s="408"/>
      <c r="E91" s="873" t="str">
        <f>E81</f>
        <v>Person 2</v>
      </c>
      <c r="F91" s="875">
        <f>Settings!P44</f>
        <v>1</v>
      </c>
      <c r="G91" s="876" t="str">
        <f>Settings!L40</f>
        <v>Nil</v>
      </c>
      <c r="H91" s="879">
        <f>Settings!F40</f>
        <v>0</v>
      </c>
      <c r="I91" s="881">
        <f>Settings!J40</f>
        <v>0</v>
      </c>
      <c r="J91" s="882">
        <f>Settings!H40</f>
        <v>0</v>
      </c>
      <c r="K91" s="882" t="str">
        <f>Settings!N40</f>
        <v>No</v>
      </c>
      <c r="L91" s="877">
        <f>IF(Relationship="Couple",IF(G91="CPI",'Term Pricing'!L5,'Term Pricing'!N5),0)</f>
        <v>8833.3127501759154</v>
      </c>
      <c r="M91" s="874">
        <f>IF(L91="CPI",'Term Pricing'!M5,'Term Pricing'!O5)</f>
        <v>3.9999999999999994E-2</v>
      </c>
      <c r="N91" s="875" t="str">
        <f ca="1">IF(Relationship="Couple",IF(L91&gt;=('Admin Settings'!$F$11*100000),"Y","N"),"Y")</f>
        <v>Y</v>
      </c>
      <c r="O91" s="368"/>
      <c r="P91" s="368"/>
      <c r="Q91" s="368"/>
      <c r="R91" s="368"/>
      <c r="S91" s="368"/>
      <c r="T91" s="368"/>
      <c r="U91" s="368"/>
      <c r="V91" s="368"/>
      <c r="W91" s="368"/>
      <c r="X91" s="368"/>
      <c r="Y91" s="368"/>
      <c r="Z91" s="368"/>
    </row>
    <row r="92" spans="2:26" ht="15.75">
      <c r="B92" s="368"/>
      <c r="C92" s="368"/>
      <c r="D92" s="864"/>
      <c r="E92" s="60"/>
      <c r="F92" s="60"/>
      <c r="G92" s="60"/>
      <c r="H92" s="60"/>
      <c r="I92" s="60"/>
      <c r="J92" s="60"/>
      <c r="K92" s="60"/>
      <c r="L92" s="60"/>
      <c r="M92" s="60"/>
      <c r="N92" s="60"/>
      <c r="O92" s="368"/>
      <c r="P92" s="368"/>
      <c r="Q92" s="368"/>
      <c r="R92" s="905" t="s">
        <v>943</v>
      </c>
      <c r="S92" s="902"/>
      <c r="T92" s="903"/>
      <c r="U92" s="368"/>
      <c r="V92" s="905" t="s">
        <v>944</v>
      </c>
      <c r="W92" s="902"/>
      <c r="X92" s="903"/>
      <c r="Y92" s="368"/>
      <c r="Z92" s="368"/>
    </row>
    <row r="93" spans="2:26" ht="15.75">
      <c r="B93" s="368"/>
      <c r="C93" s="368"/>
      <c r="D93" s="866" t="s">
        <v>927</v>
      </c>
      <c r="E93" s="873" t="str">
        <f>E83</f>
        <v>Person 1</v>
      </c>
      <c r="F93" s="875">
        <f>Settings!N51</f>
        <v>1</v>
      </c>
      <c r="G93" s="876" t="str">
        <f>Settings!L51</f>
        <v>Nil</v>
      </c>
      <c r="H93" s="879">
        <f>Settings!F51</f>
        <v>0</v>
      </c>
      <c r="I93" s="881">
        <f>Settings!J51</f>
        <v>2.1999999999999999E-2</v>
      </c>
      <c r="J93" s="882">
        <f>Settings!H51</f>
        <v>0</v>
      </c>
      <c r="K93" s="882" t="str">
        <f>Settings!V51</f>
        <v>No</v>
      </c>
      <c r="L93" s="877">
        <f>Settings!R51</f>
        <v>5113</v>
      </c>
      <c r="M93" s="874">
        <f>Settings!P51</f>
        <v>0.04</v>
      </c>
      <c r="N93" s="875" t="str">
        <f ca="1">IF(L93&gt;=('Admin Settings'!$E$11*100000),"Y","N")</f>
        <v>Y</v>
      </c>
      <c r="O93" s="368"/>
      <c r="P93" s="368"/>
      <c r="Q93" s="368"/>
      <c r="R93" s="1568" t="s">
        <v>899</v>
      </c>
      <c r="S93" s="1568"/>
      <c r="T93" s="1568"/>
      <c r="U93" s="368"/>
      <c r="V93" s="1568" t="s">
        <v>900</v>
      </c>
      <c r="W93" s="1568"/>
      <c r="X93" s="1568"/>
      <c r="Y93" s="368"/>
      <c r="Z93" s="368"/>
    </row>
    <row r="94" spans="2:26" ht="15.75">
      <c r="B94" s="368"/>
      <c r="C94" s="368"/>
      <c r="D94" s="368"/>
      <c r="E94" s="873" t="str">
        <f>E84</f>
        <v>Person 2</v>
      </c>
      <c r="F94" s="875">
        <f>Settings!N53</f>
        <v>1</v>
      </c>
      <c r="G94" s="876" t="str">
        <f>Settings!L53</f>
        <v>Nil</v>
      </c>
      <c r="H94" s="879">
        <f>Settings!F53</f>
        <v>0</v>
      </c>
      <c r="I94" s="881">
        <f>Settings!J53</f>
        <v>2.1999999999999999E-2</v>
      </c>
      <c r="J94" s="882">
        <f>Settings!H53</f>
        <v>0</v>
      </c>
      <c r="K94" s="882" t="str">
        <f>Settings!V53</f>
        <v>No</v>
      </c>
      <c r="L94" s="877">
        <f>Settings!R53</f>
        <v>4522</v>
      </c>
      <c r="M94" s="874">
        <f>Settings!P53</f>
        <v>0.04</v>
      </c>
      <c r="N94" s="875" t="str">
        <f ca="1">IF(Relationship="Couple",IF(L94&gt;=('Admin Settings'!$F$11*100000),"Y","N"),"Y")</f>
        <v>N</v>
      </c>
      <c r="O94" s="368"/>
      <c r="P94" s="368"/>
      <c r="Q94" s="368"/>
      <c r="R94" s="1568"/>
      <c r="S94" s="1568"/>
      <c r="T94" s="1568"/>
      <c r="U94" s="368"/>
      <c r="V94" s="1568"/>
      <c r="W94" s="1568"/>
      <c r="X94" s="1568"/>
      <c r="Y94" s="368"/>
      <c r="Z94" s="368"/>
    </row>
    <row r="95" spans="2:26" ht="63">
      <c r="B95" s="368"/>
      <c r="C95" s="368"/>
      <c r="D95" s="368"/>
      <c r="E95" s="60"/>
      <c r="F95" s="60"/>
      <c r="G95" s="60"/>
      <c r="H95" s="60"/>
      <c r="I95" s="60"/>
      <c r="J95" s="60"/>
      <c r="K95" s="60"/>
      <c r="L95" s="60"/>
      <c r="M95" s="60"/>
      <c r="N95" s="60"/>
      <c r="O95" s="368"/>
      <c r="P95" s="368"/>
      <c r="Q95" s="368"/>
      <c r="R95" s="904" t="s">
        <v>938</v>
      </c>
      <c r="S95" s="904" t="s">
        <v>940</v>
      </c>
      <c r="T95" s="904" t="s">
        <v>941</v>
      </c>
      <c r="U95" s="368"/>
      <c r="V95" s="904" t="s">
        <v>938</v>
      </c>
      <c r="W95" s="904" t="s">
        <v>940</v>
      </c>
      <c r="X95" s="904" t="s">
        <v>941</v>
      </c>
      <c r="Y95" s="368"/>
      <c r="Z95" s="368"/>
    </row>
    <row r="96" spans="2:26" ht="18.75">
      <c r="B96" s="368"/>
      <c r="C96" s="368"/>
      <c r="D96" s="867" t="s">
        <v>551</v>
      </c>
      <c r="E96" s="865" t="str">
        <f>E86</f>
        <v>Person 1</v>
      </c>
      <c r="F96" s="875">
        <f>IF(Settings!$T$46="No",F90,F93)</f>
        <v>15</v>
      </c>
      <c r="G96" s="876" t="str">
        <f>IF(Settings!$T$46="No",G90,G93)</f>
        <v>Nil</v>
      </c>
      <c r="H96" s="879">
        <f>IF(Settings!$T$46="No",H90,H93)</f>
        <v>0</v>
      </c>
      <c r="I96" s="881">
        <f>IF(Settings!$T$46="No",I90,I93)</f>
        <v>0</v>
      </c>
      <c r="J96" s="882">
        <f>IF(Settings!$T$46="No",J90,J93)</f>
        <v>0</v>
      </c>
      <c r="K96" s="882" t="str">
        <f>IF(Settings!$T$46="No",K90,K93)</f>
        <v>No</v>
      </c>
      <c r="L96" s="877">
        <f>IF(Settings!$T$46="No",L90,L93)</f>
        <v>8833.3127501759154</v>
      </c>
      <c r="M96" s="874">
        <f>IF(Settings!$T$46="No",M90,M93)</f>
        <v>3.9999999999999994E-2</v>
      </c>
      <c r="N96" s="875" t="str">
        <f ca="1">IF(Settings!$T$46="No",N90,N93)</f>
        <v>Y</v>
      </c>
      <c r="O96" s="368"/>
      <c r="P96" s="368"/>
      <c r="Q96" s="368"/>
      <c r="R96" s="889">
        <v>0</v>
      </c>
      <c r="S96" s="889">
        <f>L96/100000</f>
        <v>8.8333127501759159E-2</v>
      </c>
      <c r="T96" s="889">
        <f>S96*R96</f>
        <v>0</v>
      </c>
      <c r="U96" s="368"/>
      <c r="V96" s="889">
        <v>0</v>
      </c>
      <c r="W96" s="889">
        <f>L96/100000</f>
        <v>8.8333127501759159E-2</v>
      </c>
      <c r="X96" s="889">
        <f>W96*V96</f>
        <v>0</v>
      </c>
      <c r="Y96" s="368"/>
      <c r="Z96" s="368"/>
    </row>
    <row r="97" spans="2:26" ht="15.75">
      <c r="B97" s="368"/>
      <c r="C97" s="368"/>
      <c r="D97" s="872" t="str">
        <f>IF(Settings!T46="No","Inbuilt","Custom")</f>
        <v>Inbuilt</v>
      </c>
      <c r="E97" s="865" t="str">
        <f>E87</f>
        <v>Person 2</v>
      </c>
      <c r="F97" s="875">
        <f>IF(Settings!$T$46="No",F91,F94)</f>
        <v>1</v>
      </c>
      <c r="G97" s="876" t="str">
        <f>IF(Settings!$T$46="No",G91,G94)</f>
        <v>Nil</v>
      </c>
      <c r="H97" s="879">
        <f>IF(Settings!$T$46="No",H91,H94)</f>
        <v>0</v>
      </c>
      <c r="I97" s="881">
        <f>IF(Settings!$T$46="No",I91,I94)</f>
        <v>0</v>
      </c>
      <c r="J97" s="882">
        <f>IF(Settings!$T$46="No",J91,J94)</f>
        <v>0</v>
      </c>
      <c r="K97" s="882" t="str">
        <f>IF(Settings!$T$46="No",K91,K94)</f>
        <v>No</v>
      </c>
      <c r="L97" s="877">
        <f>IF(Settings!$T$46="No",L91,L94)</f>
        <v>8833.3127501759154</v>
      </c>
      <c r="M97" s="874">
        <f>IF(Settings!$T$46="No",M91,M94)</f>
        <v>3.9999999999999994E-2</v>
      </c>
      <c r="N97" s="875" t="str">
        <f ca="1">IF(Settings!$T$46="No",N91,N94)</f>
        <v>Y</v>
      </c>
      <c r="O97" s="368"/>
      <c r="P97" s="368"/>
      <c r="Q97" s="368"/>
      <c r="R97" s="889">
        <v>0</v>
      </c>
      <c r="S97" s="889">
        <f>L97/100000</f>
        <v>8.8333127501759159E-2</v>
      </c>
      <c r="T97" s="889">
        <f>S97*R97</f>
        <v>0</v>
      </c>
      <c r="U97" s="368"/>
      <c r="V97" s="889">
        <v>0</v>
      </c>
      <c r="W97" s="889">
        <f>P97/100000</f>
        <v>0</v>
      </c>
      <c r="X97" s="889">
        <f>W97*V97</f>
        <v>0</v>
      </c>
      <c r="Y97" s="368"/>
      <c r="Z97" s="368"/>
    </row>
    <row r="98" spans="2:26">
      <c r="B98" s="368"/>
      <c r="C98" s="368"/>
      <c r="D98" s="368"/>
      <c r="E98" s="368"/>
      <c r="F98" s="368"/>
      <c r="G98" s="368"/>
      <c r="H98" s="368"/>
      <c r="I98" s="368"/>
      <c r="J98" s="368"/>
      <c r="K98" s="368"/>
      <c r="L98" s="368"/>
      <c r="M98" s="368"/>
      <c r="N98" s="368"/>
      <c r="O98" s="368"/>
      <c r="P98" s="368"/>
      <c r="Q98" s="368"/>
      <c r="R98" s="368"/>
      <c r="S98" s="368"/>
      <c r="T98" s="368"/>
      <c r="U98" s="368"/>
      <c r="V98" s="368"/>
      <c r="W98" s="368"/>
      <c r="X98" s="368"/>
      <c r="Y98" s="368"/>
      <c r="Z98" s="368"/>
    </row>
    <row r="99" spans="2:26" ht="18">
      <c r="B99" s="840" t="s">
        <v>893</v>
      </c>
      <c r="C99" s="841"/>
      <c r="D99" s="841"/>
      <c r="E99" s="841"/>
      <c r="F99" s="841"/>
      <c r="G99" s="841"/>
      <c r="H99" s="841"/>
      <c r="I99" s="841"/>
      <c r="J99" s="841"/>
      <c r="K99" s="841"/>
      <c r="L99" s="841"/>
      <c r="M99" s="841"/>
      <c r="N99" s="841"/>
      <c r="O99" s="841"/>
      <c r="P99" s="841"/>
      <c r="Q99" s="841"/>
      <c r="R99" s="841"/>
      <c r="S99" s="841"/>
      <c r="T99" s="841"/>
      <c r="U99" s="841"/>
      <c r="V99" s="841"/>
      <c r="W99" s="841"/>
      <c r="X99" s="841"/>
      <c r="Y99" s="841"/>
      <c r="Z99" s="841"/>
    </row>
    <row r="100" spans="2:26">
      <c r="B100" s="368"/>
      <c r="C100" s="368"/>
      <c r="D100" s="368"/>
      <c r="E100" s="368"/>
      <c r="F100" s="368"/>
      <c r="G100" s="368"/>
      <c r="H100" s="368"/>
      <c r="I100" s="368"/>
      <c r="J100" s="368"/>
      <c r="K100" s="368"/>
      <c r="L100" s="368"/>
      <c r="M100" s="368"/>
      <c r="N100" s="368"/>
      <c r="O100" s="368"/>
      <c r="P100" s="368"/>
      <c r="Q100" s="368"/>
      <c r="R100" s="368"/>
      <c r="S100" s="368"/>
      <c r="T100" s="368"/>
      <c r="U100" s="368"/>
      <c r="V100" s="368"/>
      <c r="W100" s="368"/>
      <c r="X100" s="368"/>
      <c r="Y100" s="368"/>
      <c r="Z100" s="368"/>
    </row>
    <row r="101" spans="2:26" ht="15.75">
      <c r="B101" s="368"/>
      <c r="C101" s="368"/>
      <c r="D101" s="360"/>
      <c r="E101" s="860" t="s">
        <v>425</v>
      </c>
      <c r="F101" s="371" t="s">
        <v>284</v>
      </c>
      <c r="G101" s="368"/>
      <c r="H101" s="368"/>
      <c r="I101" s="368"/>
      <c r="J101" s="1191" t="s">
        <v>1261</v>
      </c>
      <c r="K101" s="552" t="b">
        <v>0</v>
      </c>
      <c r="L101" s="368"/>
      <c r="M101" s="368"/>
      <c r="N101" s="368"/>
      <c r="O101" s="368"/>
      <c r="P101" s="368"/>
      <c r="Q101" s="368"/>
      <c r="R101" s="368"/>
      <c r="S101" s="368"/>
      <c r="T101" s="368"/>
      <c r="U101" s="368"/>
      <c r="V101" s="368"/>
      <c r="W101" s="368"/>
      <c r="X101" s="368"/>
      <c r="Y101" s="368"/>
      <c r="Z101" s="368"/>
    </row>
    <row r="102" spans="2:26">
      <c r="B102" s="368"/>
      <c r="C102" s="368"/>
      <c r="D102" s="806"/>
      <c r="E102" s="806"/>
      <c r="F102" s="806"/>
      <c r="G102" s="806"/>
      <c r="H102" s="806"/>
      <c r="I102" s="806"/>
      <c r="J102" s="806"/>
      <c r="K102" s="806"/>
      <c r="L102" s="368"/>
      <c r="M102" s="368"/>
      <c r="N102" s="368"/>
      <c r="O102" s="368"/>
      <c r="P102" s="368"/>
      <c r="Q102" s="368"/>
      <c r="R102" s="368"/>
      <c r="S102" s="368"/>
      <c r="T102" s="368"/>
      <c r="U102" s="368"/>
      <c r="V102" s="368"/>
      <c r="W102" s="368"/>
      <c r="X102" s="368"/>
      <c r="Y102" s="368"/>
      <c r="Z102" s="368"/>
    </row>
    <row r="103" spans="2:26">
      <c r="B103" s="368"/>
      <c r="C103" s="368"/>
      <c r="D103" s="368"/>
      <c r="E103" s="368"/>
      <c r="F103" s="368"/>
      <c r="G103" s="368"/>
      <c r="H103" s="368"/>
      <c r="I103" s="368"/>
      <c r="J103" s="368"/>
      <c r="K103" s="368"/>
      <c r="L103" s="368"/>
      <c r="M103" s="368"/>
      <c r="N103" s="368"/>
      <c r="O103" s="368"/>
      <c r="P103" s="368"/>
      <c r="Q103" s="368"/>
      <c r="R103" s="368"/>
      <c r="S103" s="368"/>
      <c r="T103" s="368"/>
      <c r="U103" s="368"/>
      <c r="V103" s="368"/>
      <c r="W103" s="368"/>
      <c r="X103" s="368"/>
      <c r="Y103" s="368"/>
      <c r="Z103" s="368"/>
    </row>
    <row r="104" spans="2:26">
      <c r="B104" s="368"/>
      <c r="C104" s="368"/>
      <c r="D104" s="368"/>
      <c r="E104" s="860" t="s">
        <v>424</v>
      </c>
      <c r="F104" s="359" t="s">
        <v>18</v>
      </c>
      <c r="G104" s="368"/>
      <c r="H104" s="368"/>
      <c r="I104" s="368"/>
      <c r="J104" s="368"/>
      <c r="K104" s="368"/>
      <c r="L104" s="368"/>
      <c r="M104" s="368"/>
      <c r="N104" s="368"/>
      <c r="O104" s="368"/>
      <c r="P104" s="368"/>
      <c r="Q104" s="368"/>
      <c r="R104" s="368"/>
      <c r="S104" s="368"/>
      <c r="T104" s="368"/>
      <c r="U104" s="368"/>
      <c r="V104" s="368"/>
      <c r="W104" s="368"/>
      <c r="X104" s="368"/>
      <c r="Y104" s="368"/>
      <c r="Z104" s="368"/>
    </row>
    <row r="105" spans="2:26">
      <c r="B105" s="368"/>
      <c r="C105" s="368"/>
      <c r="D105" s="806"/>
      <c r="E105" s="806"/>
      <c r="F105" s="806"/>
      <c r="G105" s="806"/>
      <c r="H105" s="806"/>
      <c r="I105" s="806"/>
      <c r="J105" s="806"/>
      <c r="K105" s="806"/>
      <c r="L105" s="368"/>
      <c r="M105" s="368"/>
      <c r="N105" s="368"/>
      <c r="O105" s="368"/>
      <c r="P105" s="368"/>
      <c r="Q105" s="368"/>
      <c r="R105" s="368"/>
      <c r="S105" s="368"/>
      <c r="T105" s="368"/>
      <c r="U105" s="368"/>
      <c r="V105" s="368"/>
      <c r="W105" s="368"/>
      <c r="X105" s="368"/>
      <c r="Y105" s="368"/>
      <c r="Z105" s="368"/>
    </row>
    <row r="106" spans="2:26">
      <c r="B106" s="368"/>
      <c r="C106" s="368"/>
      <c r="D106" s="368"/>
      <c r="E106" s="368"/>
      <c r="F106" s="368"/>
      <c r="G106" s="368"/>
      <c r="H106" s="368"/>
      <c r="I106" s="368"/>
      <c r="J106" s="368"/>
      <c r="K106" s="368"/>
      <c r="L106" s="368"/>
      <c r="M106" s="368"/>
      <c r="N106" s="368"/>
      <c r="O106" s="368"/>
      <c r="P106" s="368"/>
      <c r="Q106" s="368"/>
      <c r="R106" s="368"/>
      <c r="S106" s="368"/>
      <c r="T106" s="368"/>
      <c r="U106" s="368"/>
      <c r="V106" s="368"/>
      <c r="W106" s="368"/>
      <c r="X106" s="368"/>
      <c r="Y106" s="368"/>
      <c r="Z106" s="368"/>
    </row>
    <row r="107" spans="2:26">
      <c r="B107" s="368"/>
      <c r="C107" s="368"/>
      <c r="D107" s="368"/>
      <c r="E107" s="860" t="s">
        <v>426</v>
      </c>
      <c r="F107" s="1565" t="s">
        <v>507</v>
      </c>
      <c r="G107" s="1566"/>
      <c r="H107" s="1566"/>
      <c r="I107" s="1567"/>
      <c r="J107" s="368"/>
      <c r="K107" s="368"/>
      <c r="L107" s="368"/>
      <c r="M107" s="368"/>
      <c r="N107" s="368"/>
      <c r="O107" s="368"/>
      <c r="P107" s="368"/>
      <c r="Q107" s="368"/>
      <c r="R107" s="368"/>
      <c r="S107" s="368"/>
      <c r="T107" s="368"/>
      <c r="U107" s="368"/>
      <c r="V107" s="368"/>
      <c r="W107" s="368"/>
      <c r="X107" s="368"/>
      <c r="Y107" s="368"/>
      <c r="Z107" s="368"/>
    </row>
    <row r="108" spans="2:26">
      <c r="B108" s="368"/>
      <c r="C108" s="368"/>
      <c r="D108" s="806"/>
      <c r="E108" s="806"/>
      <c r="F108" s="806"/>
      <c r="G108" s="806"/>
      <c r="H108" s="806"/>
      <c r="I108" s="806"/>
      <c r="J108" s="806"/>
      <c r="K108" s="806"/>
      <c r="L108" s="368"/>
      <c r="M108" s="368"/>
      <c r="N108" s="368"/>
      <c r="O108" s="368"/>
      <c r="P108" s="368"/>
      <c r="Q108" s="368"/>
      <c r="R108" s="368"/>
      <c r="S108" s="368"/>
      <c r="T108" s="368"/>
      <c r="U108" s="368"/>
      <c r="V108" s="368"/>
      <c r="W108" s="368"/>
      <c r="X108" s="368"/>
      <c r="Y108" s="368"/>
      <c r="Z108" s="368"/>
    </row>
    <row r="109" spans="2:26">
      <c r="B109" s="368"/>
      <c r="C109" s="368"/>
      <c r="D109" s="368"/>
      <c r="E109" s="368"/>
      <c r="F109" s="368"/>
      <c r="G109" s="368"/>
      <c r="H109" s="368"/>
      <c r="I109" s="368"/>
      <c r="J109" s="368"/>
      <c r="K109" s="368"/>
      <c r="L109" s="368"/>
      <c r="M109" s="368"/>
      <c r="N109" s="368"/>
      <c r="O109" s="368"/>
      <c r="P109" s="368"/>
      <c r="Q109" s="368"/>
      <c r="R109" s="368"/>
      <c r="S109" s="368"/>
      <c r="T109" s="368"/>
      <c r="U109" s="368"/>
      <c r="V109" s="368"/>
      <c r="W109" s="368"/>
      <c r="X109" s="368"/>
      <c r="Y109" s="368"/>
      <c r="Z109" s="368"/>
    </row>
    <row r="110" spans="2:26">
      <c r="B110" s="368"/>
      <c r="C110" s="368"/>
      <c r="D110" s="368"/>
      <c r="E110" s="860" t="s">
        <v>421</v>
      </c>
      <c r="F110" s="362">
        <v>0</v>
      </c>
      <c r="G110" s="368"/>
      <c r="H110" s="368"/>
      <c r="I110" s="368"/>
      <c r="J110" s="860" t="s">
        <v>449</v>
      </c>
      <c r="K110" s="361">
        <v>2.5000000000000001E-2</v>
      </c>
      <c r="L110" s="368"/>
      <c r="M110" s="368"/>
      <c r="N110" s="368"/>
      <c r="O110" s="368"/>
      <c r="P110" s="368"/>
      <c r="Q110" s="368"/>
      <c r="R110" s="368"/>
      <c r="S110" s="368"/>
      <c r="T110" s="368"/>
      <c r="U110" s="368"/>
      <c r="V110" s="368"/>
      <c r="W110" s="368"/>
      <c r="X110" s="368"/>
      <c r="Y110" s="368"/>
      <c r="Z110" s="368"/>
    </row>
    <row r="111" spans="2:26">
      <c r="B111" s="368"/>
      <c r="C111" s="368"/>
      <c r="D111" s="368"/>
      <c r="E111" s="368"/>
      <c r="F111" s="368"/>
      <c r="G111" s="368"/>
      <c r="H111" s="368"/>
      <c r="I111" s="368"/>
      <c r="J111" s="368"/>
      <c r="K111" s="368"/>
      <c r="L111" s="368"/>
      <c r="M111" s="368"/>
      <c r="N111" s="368"/>
      <c r="O111" s="368"/>
      <c r="P111" s="368"/>
      <c r="Q111" s="368"/>
      <c r="R111" s="368"/>
      <c r="S111" s="368"/>
      <c r="T111" s="368"/>
      <c r="U111" s="368"/>
      <c r="V111" s="368"/>
      <c r="W111" s="368"/>
      <c r="X111" s="368"/>
      <c r="Y111" s="368"/>
      <c r="Z111" s="368"/>
    </row>
    <row r="112" spans="2:26">
      <c r="B112" s="368"/>
      <c r="C112" s="368"/>
      <c r="D112" s="368"/>
      <c r="E112" s="368"/>
      <c r="F112" s="368"/>
      <c r="G112" s="368"/>
      <c r="H112" s="368"/>
      <c r="I112" s="368"/>
      <c r="J112" s="368"/>
      <c r="K112" s="368"/>
      <c r="L112" s="368"/>
      <c r="M112" s="368"/>
      <c r="N112" s="368"/>
      <c r="O112" s="368"/>
      <c r="P112" s="368"/>
      <c r="Q112" s="368"/>
      <c r="R112" s="368"/>
      <c r="S112" s="368"/>
      <c r="T112" s="368"/>
      <c r="U112" s="368"/>
      <c r="V112" s="368"/>
      <c r="W112" s="368"/>
      <c r="X112" s="368"/>
      <c r="Y112" s="368"/>
      <c r="Z112" s="368"/>
    </row>
  </sheetData>
  <dataConsolidate/>
  <mergeCells count="16">
    <mergeCell ref="V93:X94"/>
    <mergeCell ref="D74:E74"/>
    <mergeCell ref="D73:E73"/>
    <mergeCell ref="D72:E72"/>
    <mergeCell ref="D71:E71"/>
    <mergeCell ref="V83:X84"/>
    <mergeCell ref="R83:T84"/>
    <mergeCell ref="R93:T94"/>
    <mergeCell ref="J23:J24"/>
    <mergeCell ref="H45:H46"/>
    <mergeCell ref="I45:I46"/>
    <mergeCell ref="J30:J31"/>
    <mergeCell ref="F107:I107"/>
    <mergeCell ref="H30:H31"/>
    <mergeCell ref="I30:I31"/>
    <mergeCell ref="J45:J46"/>
  </mergeCells>
  <dataValidations count="3">
    <dataValidation type="list" allowBlank="1" showInputMessage="1" showErrorMessage="1" sqref="F104">
      <formula1>"Yes, No"</formula1>
    </dataValidation>
    <dataValidation type="list" allowBlank="1" showInputMessage="1" showErrorMessage="1" sqref="F101">
      <formula1>"Death,Voluntary"</formula1>
    </dataValidation>
    <dataValidation type="list" allowBlank="1" showInputMessage="1" showErrorMessage="1" sqref="F107:I107">
      <formula1>"Fixed pension income (linked to inflation), Minimum ABP drawings,Maintain total target income"</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
  <sheetViews>
    <sheetView topLeftCell="A37" workbookViewId="0">
      <selection activeCell="D52" sqref="D52"/>
    </sheetView>
    <sheetView workbookViewId="1"/>
  </sheetViews>
  <sheetFormatPr defaultRowHeight="15.75"/>
  <cols>
    <col min="1" max="16384" width="9" style="57"/>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54"/>
  <sheetViews>
    <sheetView showRowColHeaders="0" workbookViewId="0"/>
    <sheetView workbookViewId="1"/>
  </sheetViews>
  <sheetFormatPr defaultRowHeight="17.25"/>
  <cols>
    <col min="1" max="1" width="6.25" style="1134" customWidth="1"/>
    <col min="2" max="100" width="1.25" style="1135" customWidth="1"/>
    <col min="101" max="101" width="6.25" style="1135" customWidth="1"/>
    <col min="102" max="16384" width="9" style="1135"/>
  </cols>
  <sheetData>
    <row r="1" spans="2:100" s="1135" customFormat="1" ht="45" customHeight="1">
      <c r="B1" s="1546" t="s">
        <v>1228</v>
      </c>
      <c r="C1" s="1546"/>
      <c r="D1" s="1546"/>
      <c r="E1" s="1546"/>
      <c r="F1" s="1546"/>
      <c r="G1" s="1546"/>
      <c r="H1" s="1546"/>
      <c r="I1" s="1546"/>
      <c r="J1" s="1546"/>
      <c r="K1" s="1546"/>
      <c r="L1" s="1546"/>
      <c r="M1" s="1546"/>
      <c r="N1" s="1546"/>
      <c r="O1" s="1546"/>
      <c r="P1" s="1546"/>
      <c r="Q1" s="1546"/>
      <c r="R1" s="1546"/>
      <c r="S1" s="1546"/>
      <c r="T1" s="1546"/>
      <c r="U1" s="1546"/>
      <c r="V1" s="1546"/>
      <c r="W1" s="1546"/>
      <c r="X1" s="1546"/>
      <c r="Y1" s="1546"/>
      <c r="Z1" s="1546"/>
      <c r="AA1" s="1546"/>
      <c r="AB1" s="1546"/>
      <c r="AC1" s="1546"/>
      <c r="AD1" s="1546"/>
      <c r="AE1" s="1546"/>
      <c r="AF1" s="1546"/>
      <c r="AG1" s="1546"/>
      <c r="AH1" s="1546"/>
      <c r="AI1" s="1546"/>
      <c r="AJ1" s="1546"/>
      <c r="AK1" s="1546"/>
      <c r="AL1" s="1546"/>
      <c r="AM1" s="1546"/>
      <c r="AN1" s="1546"/>
      <c r="AO1" s="1546"/>
      <c r="AP1" s="1546"/>
      <c r="AQ1" s="1546"/>
      <c r="AR1" s="1546"/>
      <c r="AS1" s="1546"/>
      <c r="AT1" s="1546"/>
      <c r="AU1" s="1546"/>
      <c r="AV1" s="1546"/>
      <c r="AW1" s="1546"/>
      <c r="AX1" s="1546"/>
      <c r="AY1" s="1546"/>
      <c r="AZ1" s="1546"/>
      <c r="BA1" s="1546"/>
      <c r="BB1" s="1546"/>
      <c r="BC1" s="1546"/>
      <c r="BD1" s="1546"/>
      <c r="BE1" s="1546"/>
      <c r="BF1" s="1546"/>
      <c r="BG1" s="1546"/>
      <c r="BH1" s="1546"/>
      <c r="BI1" s="1546"/>
      <c r="BJ1" s="1546"/>
      <c r="BK1" s="1546"/>
      <c r="BL1" s="1546"/>
      <c r="BM1" s="1546"/>
      <c r="BN1" s="1546"/>
      <c r="BO1" s="1546"/>
      <c r="BP1" s="1546"/>
      <c r="BQ1" s="1546"/>
      <c r="BR1" s="1546"/>
      <c r="BS1" s="1546"/>
      <c r="BT1" s="1546"/>
      <c r="BU1" s="1546"/>
      <c r="BV1" s="1546"/>
      <c r="BW1" s="1546"/>
      <c r="BX1" s="1546"/>
      <c r="BY1" s="1546"/>
      <c r="BZ1" s="1546"/>
      <c r="CA1" s="1546"/>
      <c r="CB1" s="1546"/>
      <c r="CC1" s="1546"/>
      <c r="CD1" s="1546"/>
      <c r="CE1" s="1546"/>
      <c r="CF1" s="1546"/>
      <c r="CG1" s="1546"/>
      <c r="CH1" s="1546"/>
      <c r="CI1" s="1546"/>
      <c r="CJ1" s="1546"/>
      <c r="CK1" s="1546"/>
      <c r="CL1" s="1546"/>
      <c r="CM1" s="1546"/>
      <c r="CN1" s="1546"/>
      <c r="CO1" s="1546"/>
      <c r="CP1" s="1546"/>
      <c r="CQ1" s="1546"/>
      <c r="CR1" s="1546"/>
      <c r="CS1" s="1546"/>
      <c r="CT1" s="1546"/>
      <c r="CU1" s="1546"/>
      <c r="CV1" s="1546"/>
    </row>
    <row r="2" spans="2:100" s="1135" customFormat="1" ht="29.25" customHeight="1">
      <c r="B2" s="1136" t="s">
        <v>1197</v>
      </c>
    </row>
    <row r="3" spans="2:100" s="1135" customFormat="1" ht="105" customHeight="1"/>
    <row r="4" spans="2:100" s="1135" customFormat="1" ht="69.75" customHeight="1">
      <c r="E4" s="1547" t="str">
        <f ca="1">IF('Age Pension additional calcs'!P36=0,"The withdrawal value at the end of year 15 remained unchanged",""&amp;IF('Age Pension additional calcs'!P35&gt;0,"↑","↓")&amp;" "&amp;IF('Age Pension additional calcs'!P36&gt;0,"Estimated to provide an increased end of year 15 portfolio value of","Estimated to provide a lower end of year 15 portfolio value of")&amp;" "&amp;TEXT('Age Pension additional calcs'!P36,"$#,###")&amp;"")</f>
        <v>↑ Estimated to provide an increased end of year 15 portfolio value of $42,698</v>
      </c>
      <c r="F4" s="1547"/>
      <c r="G4" s="1547"/>
      <c r="H4" s="1547"/>
      <c r="I4" s="1547"/>
      <c r="J4" s="1547"/>
      <c r="K4" s="1547"/>
      <c r="L4" s="1547"/>
      <c r="M4" s="1547"/>
      <c r="N4" s="1547"/>
      <c r="O4" s="1547"/>
      <c r="P4" s="1547"/>
      <c r="Q4" s="1547"/>
      <c r="R4" s="1547"/>
      <c r="S4" s="1547"/>
      <c r="T4" s="1547"/>
      <c r="U4" s="1547"/>
      <c r="V4" s="1547"/>
      <c r="W4" s="1547"/>
      <c r="X4" s="1547"/>
      <c r="Y4" s="1547"/>
      <c r="Z4" s="1547"/>
      <c r="AA4" s="1137"/>
      <c r="AB4" s="1137"/>
      <c r="AC4" s="1137"/>
      <c r="AD4" s="1137"/>
      <c r="AE4" s="1137"/>
      <c r="AF4" s="1137"/>
      <c r="AG4" s="1137"/>
      <c r="AH4" s="1137"/>
      <c r="AI4" s="1137"/>
      <c r="AJ4" s="1137"/>
      <c r="AK4" s="1137"/>
      <c r="AL4" s="1137"/>
      <c r="AM4" s="1137"/>
      <c r="AN4" s="1547" t="str">
        <f>""&amp;IF('Age Pension additional calcs'!P39=0,"Cashflow remained unchanged. Delivers target cashflow "&amp;'Age Pension additional calcs'!P43*100&amp;"% of the time.",IF('Age Pension additional calcs'!P39=0,"",IF('Age Pension additional calcs'!P39&gt;0,"↑ Increased cashflow of ","↓ Decreased cashflow of "))&amp;""&amp;TEXT((IF('Age Pension additional calcs'!P40&lt;0,-'Age Pension additional calcs'!P40,'Age Pension additional calcs'!P40)),"$#,###")&amp;". Met target cashflow "&amp;ROUND(('Age Pension additional calcs'!P43*100),0)&amp;"% of the time.")</f>
        <v>Cashflow remained unchanged. Delivers target cashflow 100% of the time.</v>
      </c>
      <c r="AO4" s="1547"/>
      <c r="AP4" s="1547"/>
      <c r="AQ4" s="1547"/>
      <c r="AR4" s="1547"/>
      <c r="AS4" s="1547"/>
      <c r="AT4" s="1547"/>
      <c r="AU4" s="1547"/>
      <c r="AV4" s="1547"/>
      <c r="AW4" s="1547"/>
      <c r="AX4" s="1547"/>
      <c r="AY4" s="1547"/>
      <c r="AZ4" s="1547"/>
      <c r="BA4" s="1547"/>
      <c r="BB4" s="1547"/>
      <c r="BC4" s="1547"/>
      <c r="BD4" s="1547"/>
      <c r="BE4" s="1547"/>
      <c r="BF4" s="1547"/>
      <c r="BG4" s="1547"/>
      <c r="BH4" s="1547"/>
      <c r="BU4" s="1547" t="str">
        <f>IF('Age Pension additional calcs'!P37=0,"Total Age Pension benefits remained the same as the existing portfolio",""&amp;IF('Age Pension additional calcs'!P37&gt;0,"↑ Projected increase in Age Pension entitlements over 15 years of","↓ Decreases the Age Pension over 15 years by ")&amp;" "&amp;TEXT('Age Pension additional calcs'!P38,"$#,###")&amp;"")</f>
        <v>↑ Projected increase in Age Pension entitlements over 15 years of $20,470</v>
      </c>
      <c r="BV4" s="1547"/>
      <c r="BW4" s="1547"/>
      <c r="BX4" s="1547"/>
      <c r="BY4" s="1547"/>
      <c r="BZ4" s="1547"/>
      <c r="CA4" s="1547"/>
      <c r="CB4" s="1547"/>
      <c r="CC4" s="1547"/>
      <c r="CD4" s="1547"/>
      <c r="CE4" s="1547"/>
      <c r="CF4" s="1547"/>
      <c r="CG4" s="1547"/>
      <c r="CH4" s="1547"/>
      <c r="CI4" s="1547"/>
      <c r="CJ4" s="1547"/>
      <c r="CK4" s="1547"/>
      <c r="CL4" s="1547"/>
      <c r="CM4" s="1547"/>
      <c r="CN4" s="1547"/>
      <c r="CO4" s="1547"/>
      <c r="CP4" s="1547"/>
    </row>
    <row r="6" spans="2:100" s="1135" customFormat="1" ht="22.5" customHeight="1">
      <c r="B6" s="1543" t="s">
        <v>1198</v>
      </c>
      <c r="C6" s="1543"/>
      <c r="D6" s="1543"/>
      <c r="E6" s="1543"/>
      <c r="F6" s="1543"/>
      <c r="G6" s="1543"/>
      <c r="H6" s="1543"/>
      <c r="I6" s="1543"/>
      <c r="J6" s="1543"/>
      <c r="K6" s="1543"/>
      <c r="L6" s="1543"/>
      <c r="M6" s="1543"/>
      <c r="N6" s="1543"/>
      <c r="O6" s="1543"/>
      <c r="P6" s="1543"/>
      <c r="Q6" s="1543"/>
      <c r="R6" s="1543"/>
      <c r="S6" s="1543"/>
      <c r="T6" s="1543"/>
      <c r="U6" s="1543"/>
      <c r="V6" s="1543"/>
      <c r="W6" s="1543"/>
      <c r="X6" s="1543"/>
      <c r="Y6" s="1543"/>
      <c r="Z6" s="1543"/>
      <c r="AA6" s="1543"/>
      <c r="AB6" s="1543"/>
      <c r="AC6" s="1543"/>
      <c r="AD6" s="1543"/>
      <c r="AE6" s="1543"/>
      <c r="AF6" s="1543"/>
      <c r="AG6" s="1543"/>
      <c r="AH6" s="1543"/>
      <c r="AI6" s="1543"/>
      <c r="AJ6" s="1543"/>
      <c r="AK6" s="1543"/>
      <c r="AL6" s="1543"/>
      <c r="AM6" s="1543"/>
      <c r="AN6" s="1543"/>
      <c r="AO6" s="1543"/>
      <c r="AP6" s="1543"/>
      <c r="AQ6" s="1543"/>
      <c r="AR6" s="1543"/>
      <c r="AS6" s="1543"/>
      <c r="AT6" s="1543"/>
      <c r="AU6" s="1543"/>
      <c r="AV6" s="1543"/>
      <c r="AW6" s="1543"/>
      <c r="AX6" s="1543"/>
      <c r="AY6" s="1543"/>
      <c r="AZ6" s="1543"/>
      <c r="BA6" s="1543"/>
      <c r="BB6" s="1543"/>
      <c r="BC6" s="1543"/>
      <c r="BD6" s="1543"/>
      <c r="BE6" s="1543"/>
      <c r="BF6" s="1543"/>
      <c r="BG6" s="1543"/>
      <c r="BH6" s="1543"/>
      <c r="BI6" s="1543"/>
      <c r="BJ6" s="1543"/>
      <c r="BK6" s="1543"/>
      <c r="BL6" s="1543"/>
      <c r="BM6" s="1543"/>
      <c r="BN6" s="1543"/>
      <c r="BO6" s="1543"/>
      <c r="BP6" s="1543"/>
      <c r="BQ6" s="1543"/>
      <c r="BR6" s="1543"/>
      <c r="BS6" s="1543"/>
      <c r="BT6" s="1543"/>
      <c r="BU6" s="1543"/>
      <c r="BV6" s="1543"/>
      <c r="BW6" s="1543"/>
      <c r="BX6" s="1543"/>
      <c r="BY6" s="1543"/>
      <c r="BZ6" s="1543"/>
      <c r="CA6" s="1543"/>
      <c r="CB6" s="1543"/>
      <c r="CC6" s="1543"/>
      <c r="CD6" s="1543"/>
      <c r="CE6" s="1543"/>
      <c r="CF6" s="1543"/>
      <c r="CG6" s="1543"/>
      <c r="CH6" s="1543"/>
      <c r="CI6" s="1543"/>
      <c r="CJ6" s="1543"/>
      <c r="CK6" s="1543"/>
      <c r="CL6" s="1543"/>
      <c r="CM6" s="1543"/>
      <c r="CN6" s="1543"/>
      <c r="CO6" s="1543"/>
      <c r="CP6" s="1543"/>
      <c r="CQ6" s="1543"/>
      <c r="CR6" s="1543"/>
      <c r="CS6" s="1543"/>
      <c r="CT6" s="1543"/>
      <c r="CU6" s="1543"/>
      <c r="CV6" s="1543"/>
    </row>
    <row r="8" spans="2:100" s="1135" customFormat="1" ht="57.75" customHeight="1">
      <c r="B8" s="1538" t="s">
        <v>1184</v>
      </c>
      <c r="C8" s="1539"/>
      <c r="D8" s="1537" t="str">
        <f>"Your client will receive a guaranteed income stream for life. In this illustration the payment amount for the first year is "&amp;TEXT('Deterministic Output'!B3,"$#,###")&amp;". Your clients will enjoy the peace of mind of knowing that a Challenger Lifetime annuity pays an income for life no matter how long they live, with the option to withdraw their money if they really need it within the first 15 years."</f>
        <v>Your client will receive a guaranteed income stream for life. In this illustration the payment amount for the first year is $8,750. Your clients will enjoy the peace of mind of knowing that a Challenger Lifetime annuity pays an income for life no matter how long they live, with the option to withdraw their money if they really need it within the first 15 years.</v>
      </c>
      <c r="E8" s="1537"/>
      <c r="F8" s="1537"/>
      <c r="G8" s="1537"/>
      <c r="H8" s="1537"/>
      <c r="I8" s="1537"/>
      <c r="J8" s="1537"/>
      <c r="K8" s="1537"/>
      <c r="L8" s="1537"/>
      <c r="M8" s="1537"/>
      <c r="N8" s="1537"/>
      <c r="O8" s="1537"/>
      <c r="P8" s="1537"/>
      <c r="Q8" s="1537"/>
      <c r="R8" s="1537"/>
      <c r="S8" s="1537"/>
      <c r="T8" s="1537"/>
      <c r="U8" s="1537"/>
      <c r="V8" s="1537"/>
      <c r="W8" s="1537"/>
      <c r="X8" s="1537"/>
      <c r="Y8" s="1537"/>
      <c r="Z8" s="1537"/>
      <c r="AA8" s="1537"/>
      <c r="AB8" s="1537"/>
      <c r="AC8" s="1537"/>
      <c r="AD8" s="1537"/>
      <c r="AE8" s="1537"/>
      <c r="AF8" s="1537"/>
      <c r="AG8" s="1537"/>
      <c r="AH8" s="1537"/>
      <c r="AI8" s="1537"/>
      <c r="AJ8" s="1537"/>
      <c r="AK8" s="1537"/>
      <c r="AL8" s="1537"/>
      <c r="AM8" s="1537"/>
      <c r="AN8" s="1537"/>
      <c r="AO8" s="1537"/>
      <c r="AP8" s="1537"/>
      <c r="AQ8" s="1537"/>
      <c r="AR8" s="1537"/>
      <c r="AS8" s="1537"/>
      <c r="AT8" s="1537"/>
      <c r="AU8" s="1537"/>
      <c r="AV8" s="1537"/>
      <c r="AW8" s="1537"/>
      <c r="AX8" s="1537"/>
      <c r="AY8" s="1537"/>
      <c r="AZ8" s="1537"/>
      <c r="BA8" s="1537"/>
      <c r="BB8" s="1537"/>
      <c r="BC8" s="1537"/>
      <c r="BD8" s="1537"/>
      <c r="BE8" s="1537"/>
      <c r="BF8" s="1537"/>
      <c r="BG8" s="1537"/>
      <c r="BH8" s="1537"/>
      <c r="BI8" s="1537"/>
      <c r="BJ8" s="1537"/>
      <c r="BK8" s="1537"/>
      <c r="BL8" s="1537"/>
      <c r="BM8" s="1537"/>
      <c r="BN8" s="1537"/>
      <c r="BO8" s="1537"/>
      <c r="BP8" s="1537"/>
      <c r="BQ8" s="1537"/>
      <c r="BR8" s="1537"/>
      <c r="BS8" s="1537"/>
      <c r="BT8" s="1537"/>
      <c r="BU8" s="1537"/>
      <c r="BV8" s="1537"/>
      <c r="BW8" s="1537"/>
      <c r="BX8" s="1537"/>
      <c r="BY8" s="1537"/>
      <c r="BZ8" s="1537"/>
      <c r="CA8" s="1537"/>
      <c r="CB8" s="1537"/>
      <c r="CC8" s="1537"/>
      <c r="CD8" s="1537"/>
      <c r="CE8" s="1537"/>
      <c r="CF8" s="1537"/>
      <c r="CG8" s="1537"/>
      <c r="CH8" s="1537"/>
      <c r="CI8" s="1537"/>
      <c r="CJ8" s="1537"/>
      <c r="CK8" s="1537"/>
      <c r="CL8" s="1537"/>
      <c r="CM8" s="1537"/>
      <c r="CN8" s="1537"/>
      <c r="CO8" s="1537"/>
      <c r="CP8" s="1537"/>
      <c r="CQ8" s="1537"/>
      <c r="CR8" s="1537"/>
      <c r="CS8" s="1537"/>
      <c r="CT8" s="1537"/>
      <c r="CU8" s="1537"/>
      <c r="CV8" s="1537"/>
    </row>
    <row r="9" spans="2:100" s="1135" customFormat="1" ht="3.75" customHeight="1">
      <c r="B9" s="1147"/>
      <c r="C9" s="1147"/>
      <c r="D9" s="1147"/>
      <c r="E9" s="1147"/>
      <c r="F9" s="1147"/>
      <c r="G9" s="1147"/>
      <c r="H9" s="1147"/>
      <c r="I9" s="1147"/>
      <c r="J9" s="1147"/>
      <c r="K9" s="1147"/>
      <c r="L9" s="1147"/>
      <c r="M9" s="1147"/>
      <c r="N9" s="1147"/>
      <c r="O9" s="1147"/>
      <c r="P9" s="1147"/>
      <c r="Q9" s="1147"/>
      <c r="R9" s="1147"/>
      <c r="S9" s="1147"/>
      <c r="T9" s="1147"/>
      <c r="U9" s="1147"/>
      <c r="V9" s="1147"/>
      <c r="W9" s="1147"/>
      <c r="X9" s="1147"/>
      <c r="Y9" s="1147"/>
      <c r="Z9" s="1147"/>
      <c r="AA9" s="1147"/>
      <c r="AB9" s="1147"/>
      <c r="AC9" s="1147"/>
      <c r="AD9" s="1147"/>
      <c r="AE9" s="1147"/>
      <c r="AF9" s="1147"/>
      <c r="AG9" s="1147"/>
      <c r="AH9" s="1147"/>
      <c r="AI9" s="1147"/>
      <c r="AJ9" s="1147"/>
      <c r="AK9" s="1147"/>
      <c r="AL9" s="1147"/>
      <c r="AM9" s="1147"/>
      <c r="AN9" s="1147"/>
      <c r="AO9" s="1147"/>
      <c r="AP9" s="1147"/>
      <c r="AQ9" s="1147"/>
      <c r="AR9" s="1147"/>
      <c r="AS9" s="1147"/>
      <c r="AT9" s="1147"/>
      <c r="AU9" s="1147"/>
      <c r="AV9" s="1147"/>
      <c r="AW9" s="1147"/>
      <c r="AX9" s="1147"/>
      <c r="AY9" s="1147"/>
      <c r="AZ9" s="1147"/>
      <c r="BA9" s="1147"/>
      <c r="BB9" s="1147"/>
      <c r="BC9" s="1147"/>
      <c r="BD9" s="1147"/>
      <c r="BE9" s="1147"/>
      <c r="BF9" s="1147"/>
      <c r="BG9" s="1147"/>
      <c r="BH9" s="1147"/>
      <c r="BI9" s="1147"/>
      <c r="BJ9" s="1147"/>
      <c r="BK9" s="1147"/>
      <c r="BL9" s="1147"/>
      <c r="BM9" s="1147"/>
      <c r="BN9" s="1147"/>
      <c r="BO9" s="1147"/>
      <c r="BP9" s="1147"/>
      <c r="BQ9" s="1147"/>
      <c r="BR9" s="1147"/>
      <c r="BS9" s="1147"/>
      <c r="BT9" s="1147"/>
      <c r="BU9" s="1147"/>
      <c r="BV9" s="1147"/>
      <c r="BW9" s="1147"/>
      <c r="BX9" s="1147"/>
      <c r="BY9" s="1147"/>
      <c r="BZ9" s="1147"/>
      <c r="CA9" s="1147"/>
      <c r="CB9" s="1147"/>
      <c r="CC9" s="1147"/>
      <c r="CD9" s="1147"/>
      <c r="CE9" s="1147"/>
      <c r="CF9" s="1147"/>
      <c r="CG9" s="1147"/>
      <c r="CH9" s="1147"/>
      <c r="CI9" s="1147"/>
      <c r="CJ9" s="1147"/>
      <c r="CK9" s="1147"/>
      <c r="CL9" s="1147"/>
      <c r="CM9" s="1147"/>
      <c r="CN9" s="1147"/>
      <c r="CO9" s="1147"/>
      <c r="CP9" s="1147"/>
      <c r="CQ9" s="1147"/>
      <c r="CR9" s="1147"/>
      <c r="CS9" s="1147"/>
      <c r="CT9" s="1147"/>
      <c r="CU9" s="1147"/>
      <c r="CV9" s="1147"/>
    </row>
    <row r="10" spans="2:100" s="1135" customFormat="1" ht="43.5" customHeight="1">
      <c r="B10" s="1538" t="s">
        <v>1184</v>
      </c>
      <c r="C10" s="1539"/>
      <c r="D10" s="1537" t="str">
        <f ca="1">IF('Age Pension additional calcs'!P36=0,"The withdrawal value at the end of year 15 remained unchanged",""&amp;IF('Age Pension additional calcs'!P36&gt;0,"We estimate that there will be an increase to the end of year 15 portfolio value of","Estimated to provide a lower end of year 15 portfolio value of")&amp;" "&amp;TEXT('Age Pension additional calcs'!P36,"$#,###")&amp;". Note this assumes your client exercises the Liquid Lifetime withdrawal guarantee at the end of 15 years and includes the withdrawal guarantee amount.")</f>
        <v>We estimate that there will be an increase to the end of year 15 portfolio value of $42,698. Note this assumes your client exercises the Liquid Lifetime withdrawal guarantee at the end of 15 years and includes the withdrawal guarantee amount.</v>
      </c>
      <c r="E10" s="1537"/>
      <c r="F10" s="1537"/>
      <c r="G10" s="1537"/>
      <c r="H10" s="1537"/>
      <c r="I10" s="1537"/>
      <c r="J10" s="1537"/>
      <c r="K10" s="1537"/>
      <c r="L10" s="1537"/>
      <c r="M10" s="1537"/>
      <c r="N10" s="1537"/>
      <c r="O10" s="1537"/>
      <c r="P10" s="1537"/>
      <c r="Q10" s="1537"/>
      <c r="R10" s="1537"/>
      <c r="S10" s="1537"/>
      <c r="T10" s="1537"/>
      <c r="U10" s="1537"/>
      <c r="V10" s="1537"/>
      <c r="W10" s="1537"/>
      <c r="X10" s="1537"/>
      <c r="Y10" s="1537"/>
      <c r="Z10" s="1537"/>
      <c r="AA10" s="1537"/>
      <c r="AB10" s="1537"/>
      <c r="AC10" s="1537"/>
      <c r="AD10" s="1537"/>
      <c r="AE10" s="1537"/>
      <c r="AF10" s="1537"/>
      <c r="AG10" s="1537"/>
      <c r="AH10" s="1537"/>
      <c r="AI10" s="1537"/>
      <c r="AJ10" s="1537"/>
      <c r="AK10" s="1537"/>
      <c r="AL10" s="1537"/>
      <c r="AM10" s="1537"/>
      <c r="AN10" s="1537"/>
      <c r="AO10" s="1537"/>
      <c r="AP10" s="1537"/>
      <c r="AQ10" s="1537"/>
      <c r="AR10" s="1537"/>
      <c r="AS10" s="1537"/>
      <c r="AT10" s="1537"/>
      <c r="AU10" s="1537"/>
      <c r="AV10" s="1537"/>
      <c r="AW10" s="1537"/>
      <c r="AX10" s="1537"/>
      <c r="AY10" s="1537"/>
      <c r="AZ10" s="1537"/>
      <c r="BA10" s="1537"/>
      <c r="BB10" s="1537"/>
      <c r="BC10" s="1537"/>
      <c r="BD10" s="1537"/>
      <c r="BE10" s="1537"/>
      <c r="BF10" s="1537"/>
      <c r="BG10" s="1537"/>
      <c r="BH10" s="1537"/>
      <c r="BI10" s="1537"/>
      <c r="BJ10" s="1537"/>
      <c r="BK10" s="1537"/>
      <c r="BL10" s="1537"/>
      <c r="BM10" s="1537"/>
      <c r="BN10" s="1537"/>
      <c r="BO10" s="1537"/>
      <c r="BP10" s="1537"/>
      <c r="BQ10" s="1537"/>
      <c r="BR10" s="1537"/>
      <c r="BS10" s="1537"/>
      <c r="BT10" s="1537"/>
      <c r="BU10" s="1537"/>
      <c r="BV10" s="1537"/>
      <c r="BW10" s="1537"/>
      <c r="BX10" s="1537"/>
      <c r="BY10" s="1537"/>
      <c r="BZ10" s="1537"/>
      <c r="CA10" s="1537"/>
      <c r="CB10" s="1537"/>
      <c r="CC10" s="1537"/>
      <c r="CD10" s="1537"/>
      <c r="CE10" s="1537"/>
      <c r="CF10" s="1537"/>
      <c r="CG10" s="1537"/>
      <c r="CH10" s="1537"/>
      <c r="CI10" s="1537"/>
      <c r="CJ10" s="1537"/>
      <c r="CK10" s="1537"/>
      <c r="CL10" s="1537"/>
      <c r="CM10" s="1537"/>
      <c r="CN10" s="1537"/>
      <c r="CO10" s="1537"/>
      <c r="CP10" s="1537"/>
      <c r="CQ10" s="1537"/>
      <c r="CR10" s="1537"/>
      <c r="CS10" s="1537"/>
      <c r="CT10" s="1537"/>
      <c r="CU10" s="1537"/>
      <c r="CV10" s="1537"/>
    </row>
    <row r="11" spans="2:100" s="1135" customFormat="1" ht="3.75" customHeight="1">
      <c r="B11" s="1147"/>
      <c r="C11" s="1147"/>
      <c r="D11" s="1147"/>
      <c r="E11" s="1147"/>
      <c r="F11" s="1147"/>
      <c r="G11" s="1147"/>
      <c r="H11" s="1147"/>
      <c r="I11" s="1147"/>
      <c r="J11" s="1147"/>
      <c r="K11" s="1147"/>
      <c r="L11" s="1147"/>
      <c r="M11" s="1147"/>
      <c r="N11" s="1147"/>
      <c r="O11" s="1147"/>
      <c r="P11" s="1147"/>
      <c r="Q11" s="1147"/>
      <c r="R11" s="1147"/>
      <c r="S11" s="1147"/>
      <c r="T11" s="1147"/>
      <c r="U11" s="1147"/>
      <c r="V11" s="1147"/>
      <c r="W11" s="1147"/>
      <c r="X11" s="1147"/>
      <c r="Y11" s="1147"/>
      <c r="Z11" s="1147"/>
      <c r="AA11" s="1147"/>
      <c r="AB11" s="1147"/>
      <c r="AC11" s="1147"/>
      <c r="AD11" s="1147"/>
      <c r="AE11" s="1147"/>
      <c r="AF11" s="1147"/>
      <c r="AG11" s="1147"/>
      <c r="AH11" s="1147"/>
      <c r="AI11" s="1147"/>
      <c r="AJ11" s="1147"/>
      <c r="AK11" s="1147"/>
      <c r="AL11" s="1147"/>
      <c r="AM11" s="1147"/>
      <c r="AN11" s="1147"/>
      <c r="AO11" s="1147"/>
      <c r="AP11" s="1147"/>
      <c r="AQ11" s="1147"/>
      <c r="AR11" s="1147"/>
      <c r="AS11" s="1147"/>
      <c r="AT11" s="1147"/>
      <c r="AU11" s="1147"/>
      <c r="AV11" s="1147"/>
      <c r="AW11" s="1147"/>
      <c r="AX11" s="1147"/>
      <c r="AY11" s="1147"/>
      <c r="AZ11" s="1147"/>
      <c r="BA11" s="1147"/>
      <c r="BB11" s="1147"/>
      <c r="BC11" s="1147"/>
      <c r="BD11" s="1147"/>
      <c r="BE11" s="1147"/>
      <c r="BF11" s="1147"/>
      <c r="BG11" s="1147"/>
      <c r="BH11" s="1147"/>
      <c r="BI11" s="1147"/>
      <c r="BJ11" s="1147"/>
      <c r="BK11" s="1147"/>
      <c r="BL11" s="1147"/>
      <c r="BM11" s="1147"/>
      <c r="BN11" s="1147"/>
      <c r="BO11" s="1147"/>
      <c r="BP11" s="1147"/>
      <c r="BQ11" s="1147"/>
      <c r="BR11" s="1147"/>
      <c r="BS11" s="1147"/>
      <c r="BT11" s="1147"/>
      <c r="BU11" s="1147"/>
      <c r="BV11" s="1147"/>
      <c r="BW11" s="1147"/>
      <c r="BX11" s="1147"/>
      <c r="BY11" s="1147"/>
      <c r="BZ11" s="1147"/>
      <c r="CA11" s="1147"/>
      <c r="CB11" s="1147"/>
      <c r="CC11" s="1147"/>
      <c r="CD11" s="1147"/>
      <c r="CE11" s="1147"/>
      <c r="CF11" s="1147"/>
      <c r="CG11" s="1147"/>
      <c r="CH11" s="1147"/>
      <c r="CI11" s="1147"/>
      <c r="CJ11" s="1147"/>
      <c r="CK11" s="1147"/>
      <c r="CL11" s="1147"/>
      <c r="CM11" s="1147"/>
      <c r="CN11" s="1147"/>
      <c r="CO11" s="1147"/>
      <c r="CP11" s="1147"/>
      <c r="CQ11" s="1147"/>
      <c r="CR11" s="1147"/>
      <c r="CS11" s="1147"/>
      <c r="CT11" s="1147"/>
      <c r="CU11" s="1147"/>
      <c r="CV11" s="1147"/>
    </row>
    <row r="12" spans="2:100" s="1135" customFormat="1" ht="21.75" customHeight="1">
      <c r="B12" s="1538" t="s">
        <v>1184</v>
      </c>
      <c r="C12" s="1539"/>
      <c r="D12" s="1537" t="str">
        <f>IF('Age Pension additional calcs'!P37=0,"Total Age Pension benefits remained the same as the existing portfolio.",""&amp;IF('Age Pension additional calcs'!P37&gt;0,"Provides increased Age Pension entitlements over 15 years of","Decreases the Age Pension over 15 years by ")&amp;" "&amp;TEXT('Age Pension additional calcs'!P38,"$#,###")&amp;" ("&amp;TEXT(IF('Age Pension additional calcs'!P37&lt;0,-'Age Pension additional calcs'!P37,'Age Pension additional calcs'!P37),"$#,###")&amp;" in today's dollars).")</f>
        <v>Provides increased Age Pension entitlements over 15 years of $20,470 ($17,319 in today's dollars).</v>
      </c>
      <c r="E12" s="1537"/>
      <c r="F12" s="1537"/>
      <c r="G12" s="1537"/>
      <c r="H12" s="1537"/>
      <c r="I12" s="1537"/>
      <c r="J12" s="1537"/>
      <c r="K12" s="1537"/>
      <c r="L12" s="1537"/>
      <c r="M12" s="1537"/>
      <c r="N12" s="1537"/>
      <c r="O12" s="1537"/>
      <c r="P12" s="1537"/>
      <c r="Q12" s="1537"/>
      <c r="R12" s="1537"/>
      <c r="S12" s="1537"/>
      <c r="T12" s="1537"/>
      <c r="U12" s="1537"/>
      <c r="V12" s="1537"/>
      <c r="W12" s="1537"/>
      <c r="X12" s="1537"/>
      <c r="Y12" s="1537"/>
      <c r="Z12" s="1537"/>
      <c r="AA12" s="1537"/>
      <c r="AB12" s="1537"/>
      <c r="AC12" s="1537"/>
      <c r="AD12" s="1537"/>
      <c r="AE12" s="1537"/>
      <c r="AF12" s="1537"/>
      <c r="AG12" s="1537"/>
      <c r="AH12" s="1537"/>
      <c r="AI12" s="1537"/>
      <c r="AJ12" s="1537"/>
      <c r="AK12" s="1537"/>
      <c r="AL12" s="1537"/>
      <c r="AM12" s="1537"/>
      <c r="AN12" s="1537"/>
      <c r="AO12" s="1537"/>
      <c r="AP12" s="1537"/>
      <c r="AQ12" s="1537"/>
      <c r="AR12" s="1537"/>
      <c r="AS12" s="1537"/>
      <c r="AT12" s="1537"/>
      <c r="AU12" s="1537"/>
      <c r="AV12" s="1537"/>
      <c r="AW12" s="1537"/>
      <c r="AX12" s="1537"/>
      <c r="AY12" s="1537"/>
      <c r="AZ12" s="1537"/>
      <c r="BA12" s="1537"/>
      <c r="BB12" s="1537"/>
      <c r="BC12" s="1537"/>
      <c r="BD12" s="1537"/>
      <c r="BE12" s="1537"/>
      <c r="BF12" s="1537"/>
      <c r="BG12" s="1537"/>
      <c r="BH12" s="1537"/>
      <c r="BI12" s="1537"/>
      <c r="BJ12" s="1537"/>
      <c r="BK12" s="1537"/>
      <c r="BL12" s="1537"/>
      <c r="BM12" s="1537"/>
      <c r="BN12" s="1537"/>
      <c r="BO12" s="1537"/>
      <c r="BP12" s="1537"/>
      <c r="BQ12" s="1537"/>
      <c r="BR12" s="1537"/>
      <c r="BS12" s="1537"/>
      <c r="BT12" s="1537"/>
      <c r="BU12" s="1537"/>
      <c r="BV12" s="1537"/>
      <c r="BW12" s="1537"/>
      <c r="BX12" s="1537"/>
      <c r="BY12" s="1537"/>
      <c r="BZ12" s="1537"/>
      <c r="CA12" s="1537"/>
      <c r="CB12" s="1537"/>
      <c r="CC12" s="1537"/>
      <c r="CD12" s="1537"/>
      <c r="CE12" s="1537"/>
      <c r="CF12" s="1537"/>
      <c r="CG12" s="1537"/>
      <c r="CH12" s="1537"/>
      <c r="CI12" s="1537"/>
      <c r="CJ12" s="1537"/>
      <c r="CK12" s="1537"/>
      <c r="CL12" s="1537"/>
      <c r="CM12" s="1537"/>
      <c r="CN12" s="1537"/>
      <c r="CO12" s="1537"/>
      <c r="CP12" s="1537"/>
      <c r="CQ12" s="1537"/>
      <c r="CR12" s="1537"/>
      <c r="CS12" s="1537"/>
      <c r="CT12" s="1537"/>
      <c r="CU12" s="1537"/>
      <c r="CV12" s="1537"/>
    </row>
    <row r="13" spans="2:100" s="1135" customFormat="1" ht="3.75" customHeight="1">
      <c r="B13" s="1147"/>
      <c r="C13" s="1147"/>
      <c r="D13" s="1147"/>
      <c r="E13" s="1147"/>
      <c r="F13" s="1147"/>
      <c r="G13" s="1147"/>
      <c r="H13" s="1147"/>
      <c r="I13" s="1147"/>
      <c r="J13" s="1147"/>
      <c r="K13" s="1147"/>
      <c r="L13" s="1147"/>
      <c r="M13" s="1147"/>
      <c r="N13" s="1147"/>
      <c r="O13" s="1147"/>
      <c r="P13" s="1147"/>
      <c r="Q13" s="1147"/>
      <c r="R13" s="1147"/>
      <c r="S13" s="1147"/>
      <c r="T13" s="1147"/>
      <c r="U13" s="1147"/>
      <c r="V13" s="1147"/>
      <c r="W13" s="1147"/>
      <c r="X13" s="1147"/>
      <c r="Y13" s="1147"/>
      <c r="Z13" s="1147"/>
      <c r="AA13" s="1147"/>
      <c r="AB13" s="1147"/>
      <c r="AC13" s="1147"/>
      <c r="AD13" s="1147"/>
      <c r="AE13" s="1147"/>
      <c r="AF13" s="1147"/>
      <c r="AG13" s="1147"/>
      <c r="AH13" s="1147"/>
      <c r="AI13" s="1147"/>
      <c r="AJ13" s="1147"/>
      <c r="AK13" s="1147"/>
      <c r="AL13" s="1147"/>
      <c r="AM13" s="1147"/>
      <c r="AN13" s="1147"/>
      <c r="AO13" s="1147"/>
      <c r="AP13" s="1147"/>
      <c r="AQ13" s="1147"/>
      <c r="AR13" s="1147"/>
      <c r="AS13" s="1147"/>
      <c r="AT13" s="1147"/>
      <c r="AU13" s="1147"/>
      <c r="AV13" s="1147"/>
      <c r="AW13" s="1147"/>
      <c r="AX13" s="1147"/>
      <c r="AY13" s="1147"/>
      <c r="AZ13" s="1147"/>
      <c r="BA13" s="1147"/>
      <c r="BB13" s="1147"/>
      <c r="BC13" s="1147"/>
      <c r="BD13" s="1147"/>
      <c r="BE13" s="1147"/>
      <c r="BF13" s="1147"/>
      <c r="BG13" s="1147"/>
      <c r="BH13" s="1147"/>
      <c r="BI13" s="1147"/>
      <c r="BJ13" s="1147"/>
      <c r="BK13" s="1147"/>
      <c r="BL13" s="1147"/>
      <c r="BM13" s="1147"/>
      <c r="BN13" s="1147"/>
      <c r="BO13" s="1147"/>
      <c r="BP13" s="1147"/>
      <c r="BQ13" s="1147"/>
      <c r="BR13" s="1147"/>
      <c r="BS13" s="1147"/>
      <c r="BT13" s="1147"/>
      <c r="BU13" s="1147"/>
      <c r="BV13" s="1147"/>
      <c r="BW13" s="1147"/>
      <c r="BX13" s="1147"/>
      <c r="BY13" s="1147"/>
      <c r="BZ13" s="1147"/>
      <c r="CA13" s="1147"/>
      <c r="CB13" s="1147"/>
      <c r="CC13" s="1147"/>
      <c r="CD13" s="1147"/>
      <c r="CE13" s="1147"/>
      <c r="CF13" s="1147"/>
      <c r="CG13" s="1147"/>
      <c r="CH13" s="1147"/>
      <c r="CI13" s="1147"/>
      <c r="CJ13" s="1147"/>
      <c r="CK13" s="1147"/>
      <c r="CL13" s="1147"/>
      <c r="CM13" s="1147"/>
      <c r="CN13" s="1147"/>
      <c r="CO13" s="1147"/>
      <c r="CP13" s="1147"/>
      <c r="CQ13" s="1147"/>
      <c r="CR13" s="1147"/>
      <c r="CS13" s="1147"/>
      <c r="CT13" s="1147"/>
      <c r="CU13" s="1147"/>
      <c r="CV13" s="1147"/>
    </row>
    <row r="14" spans="2:100" s="1135" customFormat="1" ht="39" customHeight="1">
      <c r="B14" s="1538" t="s">
        <v>1184</v>
      </c>
      <c r="C14" s="1539"/>
      <c r="D14" s="1537" t="str">
        <f>"Annuity cash flow (annuity earnings + capital return + Age Pension boost) starts at "&amp;ROUND(SUM('Age Pension Calculator'!AS74*100),1)&amp;"% and is estimated to climb as high as "&amp;ROUND((MAX('Age Pension Calculator'!AS74:BG75)*100),1)&amp;"% of the initial annuity purchase price during the 15 years."</f>
        <v>Annuity cash flow (annuity earnings + capital return + Age Pension boost) starts at 5% and is estimated to climb as high as 6.6% of the initial annuity purchase price during the 15 years.</v>
      </c>
      <c r="E14" s="1537"/>
      <c r="F14" s="1537"/>
      <c r="G14" s="1537"/>
      <c r="H14" s="1537"/>
      <c r="I14" s="1537"/>
      <c r="J14" s="1537"/>
      <c r="K14" s="1537"/>
      <c r="L14" s="1537"/>
      <c r="M14" s="1537"/>
      <c r="N14" s="1537"/>
      <c r="O14" s="1537"/>
      <c r="P14" s="1537"/>
      <c r="Q14" s="1537"/>
      <c r="R14" s="1537"/>
      <c r="S14" s="1537"/>
      <c r="T14" s="1537"/>
      <c r="U14" s="1537"/>
      <c r="V14" s="1537"/>
      <c r="W14" s="1537"/>
      <c r="X14" s="1537"/>
      <c r="Y14" s="1537"/>
      <c r="Z14" s="1537"/>
      <c r="AA14" s="1537"/>
      <c r="AB14" s="1537"/>
      <c r="AC14" s="1537"/>
      <c r="AD14" s="1537"/>
      <c r="AE14" s="1537"/>
      <c r="AF14" s="1537"/>
      <c r="AG14" s="1537"/>
      <c r="AH14" s="1537"/>
      <c r="AI14" s="1537"/>
      <c r="AJ14" s="1537"/>
      <c r="AK14" s="1537"/>
      <c r="AL14" s="1537"/>
      <c r="AM14" s="1537"/>
      <c r="AN14" s="1537"/>
      <c r="AO14" s="1537"/>
      <c r="AP14" s="1537"/>
      <c r="AQ14" s="1537"/>
      <c r="AR14" s="1537"/>
      <c r="AS14" s="1537"/>
      <c r="AT14" s="1537"/>
      <c r="AU14" s="1537"/>
      <c r="AV14" s="1537"/>
      <c r="AW14" s="1537"/>
      <c r="AX14" s="1537"/>
      <c r="AY14" s="1537"/>
      <c r="AZ14" s="1537"/>
      <c r="BA14" s="1537"/>
      <c r="BB14" s="1537"/>
      <c r="BC14" s="1537"/>
      <c r="BD14" s="1537"/>
      <c r="BE14" s="1537"/>
      <c r="BF14" s="1537"/>
      <c r="BG14" s="1537"/>
      <c r="BH14" s="1537"/>
      <c r="BI14" s="1537"/>
      <c r="BJ14" s="1537"/>
      <c r="BK14" s="1537"/>
      <c r="BL14" s="1537"/>
      <c r="BM14" s="1537"/>
      <c r="BN14" s="1537"/>
      <c r="BO14" s="1537"/>
      <c r="BP14" s="1537"/>
      <c r="BQ14" s="1537"/>
      <c r="BR14" s="1537"/>
      <c r="BS14" s="1537"/>
      <c r="BT14" s="1537"/>
      <c r="BU14" s="1537"/>
      <c r="BV14" s="1537"/>
      <c r="BW14" s="1537"/>
      <c r="BX14" s="1537"/>
      <c r="BY14" s="1537"/>
      <c r="BZ14" s="1537"/>
      <c r="CA14" s="1537"/>
      <c r="CB14" s="1537"/>
      <c r="CC14" s="1537"/>
      <c r="CD14" s="1537"/>
      <c r="CE14" s="1537"/>
      <c r="CF14" s="1537"/>
      <c r="CG14" s="1537"/>
      <c r="CH14" s="1537"/>
      <c r="CI14" s="1537"/>
      <c r="CJ14" s="1537"/>
      <c r="CK14" s="1537"/>
      <c r="CL14" s="1537"/>
      <c r="CM14" s="1537"/>
      <c r="CN14" s="1537"/>
      <c r="CO14" s="1537"/>
      <c r="CP14" s="1537"/>
      <c r="CQ14" s="1537"/>
      <c r="CR14" s="1537"/>
      <c r="CS14" s="1537"/>
      <c r="CT14" s="1537"/>
      <c r="CU14" s="1537"/>
      <c r="CV14" s="1537"/>
    </row>
    <row r="15" spans="2:100" s="1135" customFormat="1" ht="3.75" customHeight="1">
      <c r="B15" s="1147"/>
      <c r="C15" s="1147"/>
      <c r="D15" s="1147"/>
      <c r="E15" s="1147"/>
      <c r="F15" s="1147"/>
      <c r="G15" s="1147"/>
      <c r="H15" s="1147"/>
      <c r="I15" s="1147"/>
      <c r="J15" s="1147"/>
      <c r="K15" s="1147"/>
      <c r="L15" s="1147"/>
      <c r="M15" s="1147"/>
      <c r="N15" s="1147"/>
      <c r="O15" s="1147"/>
      <c r="P15" s="1147"/>
      <c r="Q15" s="1147"/>
      <c r="R15" s="1147"/>
      <c r="S15" s="1147"/>
      <c r="T15" s="1147"/>
      <c r="U15" s="1147"/>
      <c r="V15" s="1147"/>
      <c r="W15" s="1147"/>
      <c r="X15" s="1147"/>
      <c r="Y15" s="1147"/>
      <c r="Z15" s="1147"/>
      <c r="AA15" s="1147"/>
      <c r="AB15" s="1147"/>
      <c r="AC15" s="1147"/>
      <c r="AD15" s="1147"/>
      <c r="AE15" s="1147"/>
      <c r="AF15" s="1147"/>
      <c r="AG15" s="1147"/>
      <c r="AH15" s="1147"/>
      <c r="AI15" s="1147"/>
      <c r="AJ15" s="1147"/>
      <c r="AK15" s="1147"/>
      <c r="AL15" s="1147"/>
      <c r="AM15" s="1147"/>
      <c r="AN15" s="1147"/>
      <c r="AO15" s="1147"/>
      <c r="AP15" s="1147"/>
      <c r="AQ15" s="1147"/>
      <c r="AR15" s="1147"/>
      <c r="AS15" s="1147"/>
      <c r="AT15" s="1147"/>
      <c r="AU15" s="1147"/>
      <c r="AV15" s="1147"/>
      <c r="AW15" s="1147"/>
      <c r="AX15" s="1147"/>
      <c r="AY15" s="1147"/>
      <c r="AZ15" s="1147"/>
      <c r="BA15" s="1147"/>
      <c r="BB15" s="1147"/>
      <c r="BC15" s="1147"/>
      <c r="BD15" s="1147"/>
      <c r="BE15" s="1147"/>
      <c r="BF15" s="1147"/>
      <c r="BG15" s="1147"/>
      <c r="BH15" s="1147"/>
      <c r="BI15" s="1147"/>
      <c r="BJ15" s="1147"/>
      <c r="BK15" s="1147"/>
      <c r="BL15" s="1147"/>
      <c r="BM15" s="1147"/>
      <c r="BN15" s="1147"/>
      <c r="BO15" s="1147"/>
      <c r="BP15" s="1147"/>
      <c r="BQ15" s="1147"/>
      <c r="BR15" s="1147"/>
      <c r="BS15" s="1147"/>
      <c r="BT15" s="1147"/>
      <c r="BU15" s="1147"/>
      <c r="BV15" s="1147"/>
      <c r="BW15" s="1147"/>
      <c r="BX15" s="1147"/>
      <c r="BY15" s="1147"/>
      <c r="BZ15" s="1147"/>
      <c r="CA15" s="1147"/>
      <c r="CB15" s="1147"/>
      <c r="CC15" s="1147"/>
      <c r="CD15" s="1147"/>
      <c r="CE15" s="1147"/>
      <c r="CF15" s="1147"/>
      <c r="CG15" s="1147"/>
      <c r="CH15" s="1147"/>
      <c r="CI15" s="1147"/>
      <c r="CJ15" s="1147"/>
      <c r="CK15" s="1147"/>
      <c r="CL15" s="1147"/>
      <c r="CM15" s="1147"/>
      <c r="CN15" s="1147"/>
      <c r="CO15" s="1147"/>
      <c r="CP15" s="1147"/>
      <c r="CQ15" s="1147"/>
      <c r="CR15" s="1147"/>
      <c r="CS15" s="1147"/>
      <c r="CT15" s="1147"/>
      <c r="CU15" s="1147"/>
      <c r="CV15" s="1147"/>
    </row>
    <row r="16" spans="2:100" s="1135" customFormat="1" ht="38.25" customHeight="1">
      <c r="B16" s="1538" t="s">
        <v>1184</v>
      </c>
      <c r="C16" s="1539"/>
      <c r="D16" s="1537" t="str">
        <f>"The Liquid Lifetime annuity has a lump sum withdrawal value for the first 15 years (with the amount payable at the end of year 15 guaranteed). It also has a guaranteed death benefit during the first 15 years - refer to the attached quote(s) for details."</f>
        <v>The Liquid Lifetime annuity has a lump sum withdrawal value for the first 15 years (with the amount payable at the end of year 15 guaranteed). It also has a guaranteed death benefit during the first 15 years - refer to the attached quote(s) for details.</v>
      </c>
      <c r="E16" s="1537"/>
      <c r="F16" s="1537"/>
      <c r="G16" s="1537"/>
      <c r="H16" s="1537"/>
      <c r="I16" s="1537"/>
      <c r="J16" s="1537"/>
      <c r="K16" s="1537"/>
      <c r="L16" s="1537"/>
      <c r="M16" s="1537"/>
      <c r="N16" s="1537"/>
      <c r="O16" s="1537"/>
      <c r="P16" s="1537"/>
      <c r="Q16" s="1537"/>
      <c r="R16" s="1537"/>
      <c r="S16" s="1537"/>
      <c r="T16" s="1537"/>
      <c r="U16" s="1537"/>
      <c r="V16" s="1537"/>
      <c r="W16" s="1537"/>
      <c r="X16" s="1537"/>
      <c r="Y16" s="1537"/>
      <c r="Z16" s="1537"/>
      <c r="AA16" s="1537"/>
      <c r="AB16" s="1537"/>
      <c r="AC16" s="1537"/>
      <c r="AD16" s="1537"/>
      <c r="AE16" s="1537"/>
      <c r="AF16" s="1537"/>
      <c r="AG16" s="1537"/>
      <c r="AH16" s="1537"/>
      <c r="AI16" s="1537"/>
      <c r="AJ16" s="1537"/>
      <c r="AK16" s="1537"/>
      <c r="AL16" s="1537"/>
      <c r="AM16" s="1537"/>
      <c r="AN16" s="1537"/>
      <c r="AO16" s="1537"/>
      <c r="AP16" s="1537"/>
      <c r="AQ16" s="1537"/>
      <c r="AR16" s="1537"/>
      <c r="AS16" s="1537"/>
      <c r="AT16" s="1537"/>
      <c r="AU16" s="1537"/>
      <c r="AV16" s="1537"/>
      <c r="AW16" s="1537"/>
      <c r="AX16" s="1537"/>
      <c r="AY16" s="1537"/>
      <c r="AZ16" s="1537"/>
      <c r="BA16" s="1537"/>
      <c r="BB16" s="1537"/>
      <c r="BC16" s="1537"/>
      <c r="BD16" s="1537"/>
      <c r="BE16" s="1537"/>
      <c r="BF16" s="1537"/>
      <c r="BG16" s="1537"/>
      <c r="BH16" s="1537"/>
      <c r="BI16" s="1537"/>
      <c r="BJ16" s="1537"/>
      <c r="BK16" s="1537"/>
      <c r="BL16" s="1537"/>
      <c r="BM16" s="1537"/>
      <c r="BN16" s="1537"/>
      <c r="BO16" s="1537"/>
      <c r="BP16" s="1537"/>
      <c r="BQ16" s="1537"/>
      <c r="BR16" s="1537"/>
      <c r="BS16" s="1537"/>
      <c r="BT16" s="1537"/>
      <c r="BU16" s="1537"/>
      <c r="BV16" s="1537"/>
      <c r="BW16" s="1537"/>
      <c r="BX16" s="1537"/>
      <c r="BY16" s="1537"/>
      <c r="BZ16" s="1537"/>
      <c r="CA16" s="1537"/>
      <c r="CB16" s="1537"/>
      <c r="CC16" s="1537"/>
      <c r="CD16" s="1537"/>
      <c r="CE16" s="1537"/>
      <c r="CF16" s="1537"/>
      <c r="CG16" s="1537"/>
      <c r="CH16" s="1537"/>
      <c r="CI16" s="1537"/>
      <c r="CJ16" s="1537"/>
      <c r="CK16" s="1537"/>
      <c r="CL16" s="1537"/>
      <c r="CM16" s="1537"/>
      <c r="CN16" s="1537"/>
      <c r="CO16" s="1537"/>
      <c r="CP16" s="1537"/>
      <c r="CQ16" s="1537"/>
      <c r="CR16" s="1537"/>
      <c r="CS16" s="1537"/>
      <c r="CT16" s="1537"/>
      <c r="CU16" s="1537"/>
      <c r="CV16" s="1537"/>
    </row>
    <row r="17" spans="2:100" s="1135" customFormat="1" ht="3.75" customHeight="1">
      <c r="B17" s="1147"/>
      <c r="C17" s="1147"/>
      <c r="D17" s="1147"/>
      <c r="E17" s="1147"/>
      <c r="F17" s="1147"/>
      <c r="G17" s="1147"/>
      <c r="H17" s="1147"/>
      <c r="I17" s="1147"/>
      <c r="J17" s="1147"/>
      <c r="K17" s="1147"/>
      <c r="L17" s="1147"/>
      <c r="M17" s="1147"/>
      <c r="N17" s="1147"/>
      <c r="O17" s="1147"/>
      <c r="P17" s="1147"/>
      <c r="Q17" s="1147"/>
      <c r="R17" s="1147"/>
      <c r="S17" s="1147"/>
      <c r="T17" s="1147"/>
      <c r="U17" s="1147"/>
      <c r="V17" s="1147"/>
      <c r="W17" s="1147"/>
      <c r="X17" s="1147"/>
      <c r="Y17" s="1147"/>
      <c r="Z17" s="1147"/>
      <c r="AA17" s="1147"/>
      <c r="AB17" s="1147"/>
      <c r="AC17" s="1147"/>
      <c r="AD17" s="1147"/>
      <c r="AE17" s="1147"/>
      <c r="AF17" s="1147"/>
      <c r="AG17" s="1147"/>
      <c r="AH17" s="1147"/>
      <c r="AI17" s="1147"/>
      <c r="AJ17" s="1147"/>
      <c r="AK17" s="1147"/>
      <c r="AL17" s="1147"/>
      <c r="AM17" s="1147"/>
      <c r="AN17" s="1147"/>
      <c r="AO17" s="1147"/>
      <c r="AP17" s="1147"/>
      <c r="AQ17" s="1147"/>
      <c r="AR17" s="1147"/>
      <c r="AS17" s="1147"/>
      <c r="AT17" s="1147"/>
      <c r="AU17" s="1147"/>
      <c r="AV17" s="1147"/>
      <c r="AW17" s="1147"/>
      <c r="AX17" s="1147"/>
      <c r="AY17" s="1147"/>
      <c r="AZ17" s="1147"/>
      <c r="BA17" s="1147"/>
      <c r="BB17" s="1147"/>
      <c r="BC17" s="1147"/>
      <c r="BD17" s="1147"/>
      <c r="BE17" s="1147"/>
      <c r="BF17" s="1147"/>
      <c r="BG17" s="1147"/>
      <c r="BH17" s="1147"/>
      <c r="BI17" s="1147"/>
      <c r="BJ17" s="1147"/>
      <c r="BK17" s="1147"/>
      <c r="BL17" s="1147"/>
      <c r="BM17" s="1147"/>
      <c r="BN17" s="1147"/>
      <c r="BO17" s="1147"/>
      <c r="BP17" s="1147"/>
      <c r="BQ17" s="1147"/>
      <c r="BR17" s="1147"/>
      <c r="BS17" s="1147"/>
      <c r="BT17" s="1147"/>
      <c r="BU17" s="1147"/>
      <c r="BV17" s="1147"/>
      <c r="BW17" s="1147"/>
      <c r="BX17" s="1147"/>
      <c r="BY17" s="1147"/>
      <c r="BZ17" s="1147"/>
      <c r="CA17" s="1147"/>
      <c r="CB17" s="1147"/>
      <c r="CC17" s="1147"/>
      <c r="CD17" s="1147"/>
      <c r="CE17" s="1147"/>
      <c r="CF17" s="1147"/>
      <c r="CG17" s="1147"/>
      <c r="CH17" s="1147"/>
      <c r="CI17" s="1147"/>
      <c r="CJ17" s="1147"/>
      <c r="CK17" s="1147"/>
      <c r="CL17" s="1147"/>
      <c r="CM17" s="1147"/>
      <c r="CN17" s="1147"/>
      <c r="CO17" s="1147"/>
      <c r="CP17" s="1147"/>
      <c r="CQ17" s="1147"/>
      <c r="CR17" s="1147"/>
      <c r="CS17" s="1147"/>
      <c r="CT17" s="1147"/>
      <c r="CU17" s="1147"/>
      <c r="CV17" s="1147"/>
    </row>
    <row r="18" spans="2:100" s="1135" customFormat="1" ht="40.5" customHeight="1">
      <c r="B18" s="1538" t="s">
        <v>1184</v>
      </c>
      <c r="C18" s="1539"/>
      <c r="D18" s="1537" t="str">
        <f ca="1">IF(AnnuityMoney="Account-Based Pension (super)","At the end of year 15 there is the option to withdraw or rollover "&amp;TEXT('Age Pension additional calcs'!AL5,"$#,###")&amp;" of the original annuity investment. It is important to note that the Liquid Lifetime (regular income) annuity has a withdrawal window for the first 15 years only.","At the end of year 15 there is the option to withdraw "&amp;TEXT('Age Pension additional calcs'!AL3+'Age Pension additional calcs'!AL4,"$#,###")&amp;" ("&amp;IF('Age Pension additional calcs'!AL3+'Age Pension additional calcs'!AL4='Age Pension additional calcs'!AL5,"",TEXT('Age Pension additional calcs'!AL5,"$#,###"))&amp;" after tax using today's tax rates) of the original annuity investment. It is important to note that the annuity has a withdrawal window during the first 15 years only.")</f>
        <v>At the end of year 15 there is the option to withdraw or rollover $131,250 of the original annuity investment. It is important to note that the Liquid Lifetime (regular income) annuity has a withdrawal window for the first 15 years only.</v>
      </c>
      <c r="E18" s="1537"/>
      <c r="F18" s="1537"/>
      <c r="G18" s="1537"/>
      <c r="H18" s="1537"/>
      <c r="I18" s="1537"/>
      <c r="J18" s="1537"/>
      <c r="K18" s="1537"/>
      <c r="L18" s="1537"/>
      <c r="M18" s="1537"/>
      <c r="N18" s="1537"/>
      <c r="O18" s="1537"/>
      <c r="P18" s="1537"/>
      <c r="Q18" s="1537"/>
      <c r="R18" s="1537"/>
      <c r="S18" s="1537"/>
      <c r="T18" s="1537"/>
      <c r="U18" s="1537"/>
      <c r="V18" s="1537"/>
      <c r="W18" s="1537"/>
      <c r="X18" s="1537"/>
      <c r="Y18" s="1537"/>
      <c r="Z18" s="1537"/>
      <c r="AA18" s="1537"/>
      <c r="AB18" s="1537"/>
      <c r="AC18" s="1537"/>
      <c r="AD18" s="1537"/>
      <c r="AE18" s="1537"/>
      <c r="AF18" s="1537"/>
      <c r="AG18" s="1537"/>
      <c r="AH18" s="1537"/>
      <c r="AI18" s="1537"/>
      <c r="AJ18" s="1537"/>
      <c r="AK18" s="1537"/>
      <c r="AL18" s="1537"/>
      <c r="AM18" s="1537"/>
      <c r="AN18" s="1537"/>
      <c r="AO18" s="1537"/>
      <c r="AP18" s="1537"/>
      <c r="AQ18" s="1537"/>
      <c r="AR18" s="1537"/>
      <c r="AS18" s="1537"/>
      <c r="AT18" s="1537"/>
      <c r="AU18" s="1537"/>
      <c r="AV18" s="1537"/>
      <c r="AW18" s="1537"/>
      <c r="AX18" s="1537"/>
      <c r="AY18" s="1537"/>
      <c r="AZ18" s="1537"/>
      <c r="BA18" s="1537"/>
      <c r="BB18" s="1537"/>
      <c r="BC18" s="1537"/>
      <c r="BD18" s="1537"/>
      <c r="BE18" s="1537"/>
      <c r="BF18" s="1537"/>
      <c r="BG18" s="1537"/>
      <c r="BH18" s="1537"/>
      <c r="BI18" s="1537"/>
      <c r="BJ18" s="1537"/>
      <c r="BK18" s="1537"/>
      <c r="BL18" s="1537"/>
      <c r="BM18" s="1537"/>
      <c r="BN18" s="1537"/>
      <c r="BO18" s="1537"/>
      <c r="BP18" s="1537"/>
      <c r="BQ18" s="1537"/>
      <c r="BR18" s="1537"/>
      <c r="BS18" s="1537"/>
      <c r="BT18" s="1537"/>
      <c r="BU18" s="1537"/>
      <c r="BV18" s="1537"/>
      <c r="BW18" s="1537"/>
      <c r="BX18" s="1537"/>
      <c r="BY18" s="1537"/>
      <c r="BZ18" s="1537"/>
      <c r="CA18" s="1537"/>
      <c r="CB18" s="1537"/>
      <c r="CC18" s="1537"/>
      <c r="CD18" s="1537"/>
      <c r="CE18" s="1537"/>
      <c r="CF18" s="1537"/>
      <c r="CG18" s="1537"/>
      <c r="CH18" s="1537"/>
      <c r="CI18" s="1537"/>
      <c r="CJ18" s="1537"/>
      <c r="CK18" s="1537"/>
      <c r="CL18" s="1537"/>
      <c r="CM18" s="1537"/>
      <c r="CN18" s="1537"/>
      <c r="CO18" s="1537"/>
      <c r="CP18" s="1537"/>
      <c r="CQ18" s="1537"/>
      <c r="CR18" s="1537"/>
      <c r="CS18" s="1537"/>
      <c r="CT18" s="1537"/>
      <c r="CU18" s="1537"/>
      <c r="CV18" s="1537"/>
    </row>
    <row r="19" spans="2:100" s="1135" customFormat="1" ht="3.75" customHeight="1">
      <c r="B19" s="1148"/>
      <c r="C19" s="1149"/>
      <c r="D19" s="1147"/>
      <c r="E19" s="1147"/>
      <c r="F19" s="1147"/>
      <c r="G19" s="1147"/>
      <c r="H19" s="1147"/>
      <c r="I19" s="1147"/>
      <c r="J19" s="1147"/>
      <c r="K19" s="1147"/>
      <c r="L19" s="1147"/>
      <c r="M19" s="1147"/>
      <c r="N19" s="1147"/>
      <c r="O19" s="1147"/>
      <c r="P19" s="1147"/>
      <c r="Q19" s="1147"/>
      <c r="R19" s="1147"/>
      <c r="S19" s="1147"/>
      <c r="T19" s="1147"/>
      <c r="U19" s="1147"/>
      <c r="V19" s="1147"/>
      <c r="W19" s="1147"/>
      <c r="X19" s="1147"/>
      <c r="Y19" s="1147"/>
      <c r="Z19" s="1147"/>
      <c r="AA19" s="1147"/>
      <c r="AB19" s="1147"/>
      <c r="AC19" s="1147"/>
      <c r="AD19" s="1147"/>
      <c r="AE19" s="1147"/>
      <c r="AF19" s="1147"/>
      <c r="AG19" s="1147"/>
      <c r="AH19" s="1147"/>
      <c r="AI19" s="1147"/>
      <c r="AJ19" s="1147"/>
      <c r="AK19" s="1147"/>
      <c r="AL19" s="1147"/>
      <c r="AM19" s="1147"/>
      <c r="AN19" s="1147"/>
      <c r="AO19" s="1147"/>
      <c r="AP19" s="1147"/>
      <c r="AQ19" s="1147"/>
      <c r="AR19" s="1147"/>
      <c r="AS19" s="1147"/>
      <c r="AT19" s="1147"/>
      <c r="AU19" s="1147"/>
      <c r="AV19" s="1147"/>
      <c r="AW19" s="1147"/>
      <c r="AX19" s="1147"/>
      <c r="AY19" s="1147"/>
      <c r="AZ19" s="1147"/>
      <c r="BA19" s="1147"/>
      <c r="BB19" s="1147"/>
      <c r="BC19" s="1147"/>
      <c r="BD19" s="1147"/>
      <c r="BE19" s="1147"/>
      <c r="BF19" s="1147"/>
      <c r="BG19" s="1147"/>
      <c r="BH19" s="1147"/>
      <c r="BI19" s="1147"/>
      <c r="BJ19" s="1147"/>
      <c r="BK19" s="1147"/>
      <c r="BL19" s="1147"/>
      <c r="BM19" s="1147"/>
      <c r="BN19" s="1147"/>
      <c r="BO19" s="1147"/>
      <c r="BP19" s="1147"/>
      <c r="BQ19" s="1147"/>
      <c r="BR19" s="1147"/>
      <c r="BS19" s="1147"/>
      <c r="BT19" s="1147"/>
      <c r="BU19" s="1147"/>
      <c r="BV19" s="1147"/>
      <c r="BW19" s="1147"/>
      <c r="BX19" s="1147"/>
      <c r="BY19" s="1147"/>
      <c r="BZ19" s="1147"/>
      <c r="CA19" s="1147"/>
      <c r="CB19" s="1147"/>
      <c r="CC19" s="1147"/>
      <c r="CD19" s="1147"/>
      <c r="CE19" s="1147"/>
      <c r="CF19" s="1147"/>
      <c r="CG19" s="1147"/>
      <c r="CH19" s="1147"/>
      <c r="CI19" s="1147"/>
      <c r="CJ19" s="1147"/>
      <c r="CK19" s="1147"/>
      <c r="CL19" s="1147"/>
      <c r="CM19" s="1147"/>
      <c r="CN19" s="1147"/>
      <c r="CO19" s="1147"/>
      <c r="CP19" s="1147"/>
      <c r="CQ19" s="1147"/>
      <c r="CR19" s="1147"/>
      <c r="CS19" s="1147"/>
      <c r="CT19" s="1147"/>
      <c r="CU19" s="1147"/>
      <c r="CV19" s="1147"/>
    </row>
    <row r="20" spans="2:100" s="1135" customFormat="1" ht="25.5" customHeight="1">
      <c r="B20" s="1538" t="s">
        <v>1184</v>
      </c>
      <c r="C20" s="1539"/>
      <c r="D20" s="1537" t="str">
        <f ca="1">"Annuities represented "&amp;TEXT(APCAnnuityPortfolioPerc,"#%")&amp;" of the client's total portfolio."</f>
        <v>Annuities represented 20% of the client's total portfolio.</v>
      </c>
      <c r="E20" s="1537"/>
      <c r="F20" s="1537"/>
      <c r="G20" s="1537"/>
      <c r="H20" s="1537"/>
      <c r="I20" s="1537"/>
      <c r="J20" s="1537"/>
      <c r="K20" s="1537"/>
      <c r="L20" s="1537"/>
      <c r="M20" s="1537"/>
      <c r="N20" s="1537"/>
      <c r="O20" s="1537"/>
      <c r="P20" s="1537"/>
      <c r="Q20" s="1537"/>
      <c r="R20" s="1537"/>
      <c r="S20" s="1537"/>
      <c r="T20" s="1537"/>
      <c r="U20" s="1537"/>
      <c r="V20" s="1537"/>
      <c r="W20" s="1537"/>
      <c r="X20" s="1537"/>
      <c r="Y20" s="1537"/>
      <c r="Z20" s="1537"/>
      <c r="AA20" s="1537"/>
      <c r="AB20" s="1537"/>
      <c r="AC20" s="1537"/>
      <c r="AD20" s="1537"/>
      <c r="AE20" s="1537"/>
      <c r="AF20" s="1537"/>
      <c r="AG20" s="1537"/>
      <c r="AH20" s="1537"/>
      <c r="AI20" s="1537"/>
      <c r="AJ20" s="1537"/>
      <c r="AK20" s="1537"/>
      <c r="AL20" s="1537"/>
      <c r="AM20" s="1537"/>
      <c r="AN20" s="1537"/>
      <c r="AO20" s="1537"/>
      <c r="AP20" s="1537"/>
      <c r="AQ20" s="1537"/>
      <c r="AR20" s="1537"/>
      <c r="AS20" s="1537"/>
      <c r="AT20" s="1537"/>
      <c r="AU20" s="1537"/>
      <c r="AV20" s="1537"/>
      <c r="AW20" s="1537"/>
      <c r="AX20" s="1537"/>
      <c r="AY20" s="1537"/>
      <c r="AZ20" s="1537"/>
      <c r="BA20" s="1537"/>
      <c r="BB20" s="1537"/>
      <c r="BC20" s="1537"/>
      <c r="BD20" s="1537"/>
      <c r="BE20" s="1537"/>
      <c r="BF20" s="1537"/>
      <c r="BG20" s="1537"/>
      <c r="BH20" s="1537"/>
      <c r="BI20" s="1537"/>
      <c r="BJ20" s="1537"/>
      <c r="BK20" s="1537"/>
      <c r="BL20" s="1537"/>
      <c r="BM20" s="1537"/>
      <c r="BN20" s="1537"/>
      <c r="BO20" s="1537"/>
      <c r="BP20" s="1537"/>
      <c r="BQ20" s="1537"/>
      <c r="BR20" s="1537"/>
      <c r="BS20" s="1537"/>
      <c r="BT20" s="1537"/>
      <c r="BU20" s="1537"/>
      <c r="BV20" s="1537"/>
      <c r="BW20" s="1537"/>
      <c r="BX20" s="1537"/>
      <c r="BY20" s="1537"/>
      <c r="BZ20" s="1537"/>
      <c r="CA20" s="1537"/>
      <c r="CB20" s="1537"/>
      <c r="CC20" s="1537"/>
      <c r="CD20" s="1537"/>
      <c r="CE20" s="1537"/>
      <c r="CF20" s="1537"/>
      <c r="CG20" s="1537"/>
      <c r="CH20" s="1537"/>
      <c r="CI20" s="1537"/>
      <c r="CJ20" s="1537"/>
      <c r="CK20" s="1537"/>
      <c r="CL20" s="1537"/>
      <c r="CM20" s="1537"/>
      <c r="CN20" s="1537"/>
      <c r="CO20" s="1537"/>
      <c r="CP20" s="1537"/>
      <c r="CQ20" s="1537"/>
      <c r="CR20" s="1537"/>
      <c r="CS20" s="1537"/>
      <c r="CT20" s="1537"/>
      <c r="CU20" s="1537"/>
      <c r="CV20" s="1537"/>
    </row>
    <row r="21" spans="2:100" s="1135" customFormat="1" ht="3.75" customHeight="1"/>
    <row r="22" spans="2:100" s="1135" customFormat="1" ht="36" customHeight="1">
      <c r="B22" s="1538" t="s">
        <v>1184</v>
      </c>
      <c r="C22" s="1539"/>
      <c r="D22" s="1537" t="str">
        <f>IF(AND('Admin Settings'!N38=0,'Admin Settings'!N39=0),"",IF(AND('Admin Settings'!N47='Admin Settings'!N25,'Admin Settings'!N48='Admin Settings'!N26),"The illustrated outcomes have been achieved while maintaining your client's superannuation portfolio asset allocation target of "&amp;TEXT(ROUND('Admin Settings'!N25,3),"##%")&amp;" Growth/"&amp;TEXT(ROUND('Admin Settings'!N26,3),"##%")&amp;" Defensive.","The illustrated outcomes have been achieved while de-risking your client's superannuation portfolio asset allocation from "&amp;TEXT(ROUND('Admin Settings'!N25,3),"##%")&amp;" Growth/"&amp;TEXT(ROUND('Admin Settings'!N26,3),"##%")&amp;" Defensive to "&amp;ROUND('Admin Settings'!N47*100,0)&amp;"% Growth/"&amp;ROUND('Admin Settings'!N48*100,0)&amp;"% Defensive."))</f>
        <v>The illustrated outcomes have been achieved while maintaining your client's superannuation portfolio asset allocation target of 40% Growth/60% Defensive.</v>
      </c>
      <c r="E22" s="1537"/>
      <c r="F22" s="1537"/>
      <c r="G22" s="1537"/>
      <c r="H22" s="1537"/>
      <c r="I22" s="1537"/>
      <c r="J22" s="1537"/>
      <c r="K22" s="1537"/>
      <c r="L22" s="1537"/>
      <c r="M22" s="1537"/>
      <c r="N22" s="1537"/>
      <c r="O22" s="1537"/>
      <c r="P22" s="1537"/>
      <c r="Q22" s="1537"/>
      <c r="R22" s="1537"/>
      <c r="S22" s="1537"/>
      <c r="T22" s="1537"/>
      <c r="U22" s="1537"/>
      <c r="V22" s="1537"/>
      <c r="W22" s="1537"/>
      <c r="X22" s="1537"/>
      <c r="Y22" s="1537"/>
      <c r="Z22" s="1537"/>
      <c r="AA22" s="1537"/>
      <c r="AB22" s="1537"/>
      <c r="AC22" s="1537"/>
      <c r="AD22" s="1537"/>
      <c r="AE22" s="1537"/>
      <c r="AF22" s="1537"/>
      <c r="AG22" s="1537"/>
      <c r="AH22" s="1537"/>
      <c r="AI22" s="1537"/>
      <c r="AJ22" s="1537"/>
      <c r="AK22" s="1537"/>
      <c r="AL22" s="1537"/>
      <c r="AM22" s="1537"/>
      <c r="AN22" s="1537"/>
      <c r="AO22" s="1537"/>
      <c r="AP22" s="1537"/>
      <c r="AQ22" s="1537"/>
      <c r="AR22" s="1537"/>
      <c r="AS22" s="1537"/>
      <c r="AT22" s="1537"/>
      <c r="AU22" s="1537"/>
      <c r="AV22" s="1537"/>
      <c r="AW22" s="1537"/>
      <c r="AX22" s="1537"/>
      <c r="AY22" s="1537"/>
      <c r="AZ22" s="1537"/>
      <c r="BA22" s="1537"/>
      <c r="BB22" s="1537"/>
      <c r="BC22" s="1537"/>
      <c r="BD22" s="1537"/>
      <c r="BE22" s="1537"/>
      <c r="BF22" s="1537"/>
      <c r="BG22" s="1537"/>
      <c r="BH22" s="1537"/>
      <c r="BI22" s="1537"/>
      <c r="BJ22" s="1537"/>
      <c r="BK22" s="1537"/>
      <c r="BL22" s="1537"/>
      <c r="BM22" s="1537"/>
      <c r="BN22" s="1537"/>
      <c r="BO22" s="1537"/>
      <c r="BP22" s="1537"/>
      <c r="BQ22" s="1537"/>
      <c r="BR22" s="1537"/>
      <c r="BS22" s="1537"/>
      <c r="BT22" s="1537"/>
      <c r="BU22" s="1537"/>
      <c r="BV22" s="1537"/>
      <c r="BW22" s="1537"/>
      <c r="BX22" s="1537"/>
      <c r="BY22" s="1537"/>
      <c r="BZ22" s="1537"/>
      <c r="CA22" s="1537"/>
      <c r="CB22" s="1537"/>
      <c r="CC22" s="1537"/>
      <c r="CD22" s="1537"/>
      <c r="CE22" s="1537"/>
      <c r="CF22" s="1537"/>
      <c r="CG22" s="1537"/>
      <c r="CH22" s="1537"/>
      <c r="CI22" s="1537"/>
      <c r="CJ22" s="1537"/>
      <c r="CK22" s="1537"/>
      <c r="CL22" s="1537"/>
      <c r="CM22" s="1537"/>
      <c r="CN22" s="1537"/>
      <c r="CO22" s="1537"/>
      <c r="CP22" s="1537"/>
      <c r="CQ22" s="1537"/>
      <c r="CR22" s="1537"/>
      <c r="CS22" s="1537"/>
      <c r="CT22" s="1537"/>
      <c r="CU22" s="1537"/>
      <c r="CV22" s="1537"/>
    </row>
    <row r="23" spans="2:100" s="1135" customFormat="1" ht="57" customHeight="1">
      <c r="B23" s="1540" t="s">
        <v>1243</v>
      </c>
      <c r="C23" s="1540"/>
      <c r="D23" s="1540"/>
      <c r="E23" s="1540"/>
      <c r="F23" s="1540"/>
      <c r="G23" s="1540"/>
      <c r="H23" s="1540"/>
      <c r="I23" s="1540"/>
      <c r="J23" s="1540"/>
      <c r="K23" s="1540"/>
      <c r="L23" s="1540"/>
      <c r="M23" s="1540"/>
      <c r="N23" s="1540"/>
      <c r="O23" s="1540"/>
      <c r="P23" s="1540"/>
      <c r="Q23" s="1540"/>
      <c r="R23" s="1540"/>
      <c r="S23" s="1540"/>
      <c r="T23" s="1540"/>
      <c r="U23" s="1540"/>
      <c r="V23" s="1540"/>
      <c r="W23" s="1540"/>
      <c r="X23" s="1540"/>
      <c r="Y23" s="1540"/>
      <c r="Z23" s="1540"/>
      <c r="AA23" s="1540"/>
      <c r="AB23" s="1540"/>
      <c r="AC23" s="1540"/>
      <c r="AD23" s="1540"/>
      <c r="AE23" s="1540"/>
      <c r="AF23" s="1540"/>
      <c r="AG23" s="1540"/>
      <c r="AH23" s="1540"/>
      <c r="AI23" s="1540"/>
      <c r="AJ23" s="1540"/>
      <c r="AK23" s="1540"/>
      <c r="AL23" s="1540"/>
      <c r="AM23" s="1540"/>
      <c r="AN23" s="1540"/>
      <c r="AO23" s="1540"/>
      <c r="AP23" s="1540"/>
      <c r="AQ23" s="1540"/>
      <c r="AR23" s="1540"/>
      <c r="AS23" s="1540"/>
      <c r="AT23" s="1540"/>
      <c r="AU23" s="1540"/>
      <c r="AV23" s="1540"/>
      <c r="AW23" s="1540"/>
      <c r="AX23" s="1540"/>
      <c r="AY23" s="1540"/>
      <c r="AZ23" s="1540"/>
      <c r="BA23" s="1540"/>
      <c r="BB23" s="1540"/>
      <c r="BC23" s="1540"/>
      <c r="BD23" s="1540"/>
      <c r="BE23" s="1540"/>
      <c r="BF23" s="1540"/>
      <c r="BG23" s="1540"/>
      <c r="BH23" s="1540"/>
      <c r="BI23" s="1540"/>
      <c r="BJ23" s="1540"/>
      <c r="BK23" s="1540"/>
      <c r="BL23" s="1540"/>
      <c r="BM23" s="1540"/>
      <c r="BN23" s="1540"/>
      <c r="BO23" s="1540"/>
      <c r="BP23" s="1540"/>
      <c r="BQ23" s="1540"/>
      <c r="BR23" s="1540"/>
      <c r="BS23" s="1540"/>
      <c r="BT23" s="1540"/>
      <c r="BU23" s="1540"/>
      <c r="BV23" s="1540"/>
      <c r="BW23" s="1540"/>
      <c r="BX23" s="1540"/>
      <c r="BY23" s="1540"/>
      <c r="BZ23" s="1540"/>
      <c r="CA23" s="1540"/>
      <c r="CB23" s="1540"/>
      <c r="CC23" s="1540"/>
      <c r="CD23" s="1540"/>
      <c r="CE23" s="1540"/>
      <c r="CF23" s="1540"/>
      <c r="CG23" s="1540"/>
      <c r="CH23" s="1540"/>
      <c r="CI23" s="1540"/>
      <c r="CJ23" s="1540"/>
      <c r="CK23" s="1540"/>
      <c r="CL23" s="1540"/>
      <c r="CM23" s="1540"/>
      <c r="CN23" s="1540"/>
      <c r="CO23" s="1540"/>
      <c r="CP23" s="1540"/>
      <c r="CQ23" s="1540"/>
      <c r="CR23" s="1540"/>
      <c r="CS23" s="1540"/>
      <c r="CT23" s="1540"/>
      <c r="CU23" s="1540"/>
      <c r="CV23" s="1540"/>
    </row>
    <row r="24" spans="2:100" s="1135" customFormat="1" ht="12.75" customHeight="1"/>
    <row r="25" spans="2:100" s="1135" customFormat="1" ht="22.5" customHeight="1">
      <c r="B25" s="1543" t="s">
        <v>1196</v>
      </c>
      <c r="C25" s="1543"/>
      <c r="D25" s="1543"/>
      <c r="E25" s="1543"/>
      <c r="F25" s="1543"/>
      <c r="G25" s="1543"/>
      <c r="H25" s="1543"/>
      <c r="I25" s="1543"/>
      <c r="J25" s="1543"/>
      <c r="K25" s="1543"/>
      <c r="L25" s="1543"/>
      <c r="M25" s="1543"/>
      <c r="N25" s="1543"/>
      <c r="O25" s="1543"/>
      <c r="P25" s="1543"/>
      <c r="Q25" s="1543"/>
      <c r="R25" s="1543"/>
      <c r="S25" s="1543"/>
      <c r="T25" s="1543"/>
      <c r="U25" s="1543"/>
      <c r="V25" s="1543"/>
      <c r="W25" s="1543"/>
      <c r="X25" s="1543"/>
      <c r="Y25" s="1543"/>
      <c r="Z25" s="1543"/>
      <c r="AA25" s="1543"/>
      <c r="AB25" s="1543"/>
      <c r="AC25" s="1543"/>
      <c r="AD25" s="1543"/>
      <c r="AE25" s="1543"/>
      <c r="AF25" s="1543"/>
      <c r="AG25" s="1543"/>
      <c r="AH25" s="1543"/>
      <c r="AI25" s="1543"/>
      <c r="AJ25" s="1543"/>
      <c r="AK25" s="1543"/>
      <c r="AL25" s="1543"/>
      <c r="AM25" s="1543"/>
      <c r="AN25" s="1543"/>
      <c r="AO25" s="1543"/>
      <c r="AP25" s="1543"/>
      <c r="AQ25" s="1543"/>
      <c r="AR25" s="1543"/>
      <c r="AS25" s="1543"/>
      <c r="AT25" s="1543"/>
      <c r="AU25" s="1543"/>
      <c r="AV25" s="1543"/>
      <c r="AW25" s="1543"/>
      <c r="AX25" s="1543"/>
      <c r="AY25" s="1543"/>
      <c r="AZ25" s="1543"/>
      <c r="BA25" s="1543"/>
      <c r="BB25" s="1543"/>
      <c r="BC25" s="1543"/>
      <c r="BD25" s="1543"/>
      <c r="BE25" s="1543"/>
      <c r="BF25" s="1543"/>
      <c r="BG25" s="1543"/>
      <c r="BH25" s="1543"/>
      <c r="BI25" s="1543"/>
      <c r="BJ25" s="1543"/>
      <c r="BK25" s="1543"/>
      <c r="BL25" s="1543"/>
      <c r="BM25" s="1543"/>
      <c r="BN25" s="1543"/>
      <c r="BO25" s="1543"/>
      <c r="BP25" s="1543"/>
      <c r="BQ25" s="1543"/>
      <c r="BR25" s="1543"/>
      <c r="BS25" s="1543"/>
      <c r="BT25" s="1543"/>
      <c r="BU25" s="1543"/>
      <c r="BV25" s="1543"/>
      <c r="BW25" s="1543"/>
      <c r="BX25" s="1543"/>
      <c r="BY25" s="1543"/>
      <c r="BZ25" s="1543"/>
      <c r="CA25" s="1543"/>
      <c r="CB25" s="1543"/>
      <c r="CC25" s="1543"/>
      <c r="CD25" s="1543"/>
      <c r="CE25" s="1543"/>
      <c r="CF25" s="1543"/>
      <c r="CG25" s="1543"/>
      <c r="CH25" s="1543"/>
      <c r="CI25" s="1543"/>
      <c r="CJ25" s="1543"/>
      <c r="CK25" s="1543"/>
      <c r="CL25" s="1543"/>
      <c r="CM25" s="1543"/>
      <c r="CN25" s="1543"/>
      <c r="CO25" s="1543"/>
      <c r="CP25" s="1543"/>
      <c r="CQ25" s="1543"/>
      <c r="CR25" s="1543"/>
      <c r="CS25" s="1543"/>
      <c r="CT25" s="1543"/>
      <c r="CU25" s="1543"/>
      <c r="CV25" s="1543"/>
    </row>
    <row r="27" spans="2:100" s="1135" customFormat="1">
      <c r="B27" s="1542" t="s">
        <v>1200</v>
      </c>
      <c r="C27" s="1542"/>
      <c r="D27" s="1542"/>
      <c r="E27" s="1542"/>
      <c r="F27" s="1542"/>
      <c r="G27" s="1542"/>
      <c r="H27" s="1542"/>
      <c r="I27" s="1542"/>
      <c r="J27" s="1542"/>
      <c r="K27" s="1542"/>
      <c r="L27" s="1542"/>
      <c r="M27" s="1542"/>
      <c r="N27" s="1542"/>
      <c r="O27" s="1542"/>
      <c r="P27" s="1542"/>
      <c r="Q27" s="1542"/>
      <c r="R27" s="1542"/>
      <c r="S27" s="1542"/>
      <c r="T27" s="1542"/>
      <c r="U27" s="1542"/>
      <c r="V27" s="1542"/>
      <c r="W27" s="1542"/>
      <c r="X27" s="1542"/>
      <c r="Y27" s="1542"/>
      <c r="Z27" s="1542"/>
      <c r="AA27" s="1542"/>
      <c r="AB27" s="1542"/>
      <c r="AC27" s="1542"/>
      <c r="AD27" s="1542"/>
      <c r="AE27" s="1542"/>
      <c r="AF27" s="1542"/>
      <c r="AG27" s="1542"/>
      <c r="AH27" s="1542"/>
      <c r="AI27" s="1542"/>
      <c r="AJ27" s="1542"/>
      <c r="AK27" s="1542"/>
      <c r="AL27" s="1542"/>
      <c r="AM27" s="1542"/>
      <c r="AN27" s="1542"/>
      <c r="AO27" s="1542"/>
      <c r="AP27" s="1542"/>
      <c r="AQ27" s="1542"/>
      <c r="AR27" s="1542"/>
      <c r="AS27" s="1542"/>
      <c r="AT27" s="1542"/>
      <c r="AU27" s="1542"/>
      <c r="AV27" s="1542"/>
      <c r="AW27" s="1542"/>
      <c r="AX27" s="1542"/>
      <c r="AY27" s="1542"/>
      <c r="AZ27" s="1542"/>
      <c r="BA27" s="1542"/>
      <c r="BB27" s="1542"/>
      <c r="BC27" s="1542"/>
      <c r="BD27" s="1542"/>
      <c r="BE27" s="1542"/>
      <c r="BF27" s="1542"/>
      <c r="BG27" s="1542"/>
      <c r="BH27" s="1542"/>
      <c r="BI27" s="1542"/>
      <c r="BJ27" s="1542"/>
      <c r="BK27" s="1542"/>
      <c r="BL27" s="1542"/>
      <c r="BM27" s="1542"/>
      <c r="BN27" s="1542"/>
      <c r="BO27" s="1542"/>
      <c r="BP27" s="1542"/>
      <c r="BQ27" s="1542"/>
      <c r="BR27" s="1542"/>
      <c r="BS27" s="1542"/>
      <c r="BT27" s="1542"/>
      <c r="BU27" s="1542"/>
      <c r="BV27" s="1542"/>
      <c r="BW27" s="1542"/>
      <c r="BX27" s="1542"/>
      <c r="BY27" s="1542"/>
      <c r="BZ27" s="1542"/>
      <c r="CA27" s="1542"/>
      <c r="CB27" s="1542"/>
      <c r="CC27" s="1542"/>
      <c r="CD27" s="1542"/>
      <c r="CE27" s="1542"/>
      <c r="CF27" s="1542"/>
      <c r="CG27" s="1542"/>
      <c r="CH27" s="1542"/>
      <c r="CI27" s="1542"/>
      <c r="CJ27" s="1542"/>
      <c r="CK27" s="1542"/>
      <c r="CL27" s="1542"/>
      <c r="CM27" s="1542"/>
      <c r="CN27" s="1542"/>
      <c r="CO27" s="1542"/>
      <c r="CP27" s="1542"/>
      <c r="CQ27" s="1542"/>
      <c r="CR27" s="1542"/>
      <c r="CS27" s="1542"/>
      <c r="CT27" s="1542"/>
      <c r="CU27" s="1542"/>
      <c r="CV27" s="1542"/>
    </row>
    <row r="28" spans="2:100" s="1135" customFormat="1" ht="39.75" customHeight="1">
      <c r="B28" s="1541" t="str">
        <f>"The above outcomes are based on investing "&amp;TEXT('Admin Settings'!V86+'Admin Settings'!V87,"$#,###")&amp;" from "&amp;IF(AnnuityMoney="Account-Based Pension (super)","superannuation","the term deposit/cash")&amp;" into a Challenger Liquid Lifetime (regular income) annuity. "&amp;IF(AND(ChalLLAnnuityPerson1&gt;0,ChalLLAnnuityPerson2&gt;0),"Attached are quotes for the illustrated annuities.","Attached is a quote for the illustrated annuity.")&amp;" Details are shown below:"</f>
        <v>The above outcomes are based on investing $175,000 from superannuation into a Challenger Liquid Lifetime (regular income) annuity. Attached are quotes for the illustrated annuities. Details are shown below:</v>
      </c>
      <c r="C28" s="1541"/>
      <c r="D28" s="1541"/>
      <c r="E28" s="1541"/>
      <c r="F28" s="1541"/>
      <c r="G28" s="1541"/>
      <c r="H28" s="1541"/>
      <c r="I28" s="1541"/>
      <c r="J28" s="1541"/>
      <c r="K28" s="1541"/>
      <c r="L28" s="1541"/>
      <c r="M28" s="1541"/>
      <c r="N28" s="1541"/>
      <c r="O28" s="1541"/>
      <c r="P28" s="1541"/>
      <c r="Q28" s="1541"/>
      <c r="R28" s="1541"/>
      <c r="S28" s="1541"/>
      <c r="T28" s="1541"/>
      <c r="U28" s="1541"/>
      <c r="V28" s="1541"/>
      <c r="W28" s="1541"/>
      <c r="X28" s="1541"/>
      <c r="Y28" s="1541"/>
      <c r="Z28" s="1541"/>
      <c r="AA28" s="1541"/>
      <c r="AB28" s="1541"/>
      <c r="AC28" s="1541"/>
      <c r="AD28" s="1541"/>
      <c r="AE28" s="1541"/>
      <c r="AF28" s="1541"/>
      <c r="AG28" s="1541"/>
      <c r="AH28" s="1541"/>
      <c r="AI28" s="1541"/>
      <c r="AJ28" s="1541"/>
      <c r="AK28" s="1541"/>
      <c r="AL28" s="1541"/>
      <c r="AM28" s="1541"/>
      <c r="AN28" s="1541"/>
      <c r="AO28" s="1541"/>
      <c r="AP28" s="1541"/>
      <c r="AQ28" s="1541"/>
      <c r="AR28" s="1541"/>
      <c r="AS28" s="1541"/>
      <c r="AT28" s="1541"/>
      <c r="AU28" s="1541"/>
      <c r="AV28" s="1541"/>
      <c r="AW28" s="1541"/>
      <c r="AX28" s="1541"/>
      <c r="AY28" s="1541"/>
      <c r="AZ28" s="1541"/>
      <c r="BA28" s="1541"/>
      <c r="BB28" s="1541"/>
      <c r="BC28" s="1541"/>
      <c r="BD28" s="1541"/>
      <c r="BE28" s="1541"/>
      <c r="BF28" s="1541"/>
      <c r="BG28" s="1541"/>
      <c r="BH28" s="1541"/>
      <c r="BI28" s="1541"/>
      <c r="BJ28" s="1541"/>
      <c r="BK28" s="1541"/>
      <c r="BL28" s="1541"/>
      <c r="BM28" s="1541"/>
      <c r="BN28" s="1541"/>
      <c r="BO28" s="1541"/>
      <c r="BP28" s="1541"/>
      <c r="BQ28" s="1541"/>
      <c r="BR28" s="1541"/>
      <c r="BS28" s="1541"/>
      <c r="BT28" s="1541"/>
      <c r="BU28" s="1541"/>
      <c r="BV28" s="1541"/>
      <c r="BW28" s="1541"/>
      <c r="BX28" s="1541"/>
      <c r="BY28" s="1541"/>
      <c r="BZ28" s="1541"/>
      <c r="CA28" s="1541"/>
      <c r="CB28" s="1541"/>
      <c r="CC28" s="1541"/>
      <c r="CD28" s="1541"/>
      <c r="CE28" s="1541"/>
      <c r="CF28" s="1541"/>
      <c r="CG28" s="1541"/>
      <c r="CH28" s="1541"/>
      <c r="CI28" s="1541"/>
      <c r="CJ28" s="1541"/>
      <c r="CK28" s="1541"/>
      <c r="CL28" s="1541"/>
      <c r="CM28" s="1541"/>
      <c r="CN28" s="1541"/>
      <c r="CO28" s="1541"/>
      <c r="CP28" s="1541"/>
      <c r="CQ28" s="1541"/>
      <c r="CR28" s="1541"/>
      <c r="CS28" s="1541"/>
      <c r="CT28" s="1541"/>
      <c r="CU28" s="1541"/>
      <c r="CV28" s="1541"/>
    </row>
    <row r="29" spans="2:100" s="1135" customFormat="1" ht="9.75" customHeight="1"/>
    <row r="30" spans="2:100" s="1135" customFormat="1">
      <c r="AF30" s="1548" t="s">
        <v>1190</v>
      </c>
      <c r="AG30" s="1548"/>
      <c r="AH30" s="1548"/>
      <c r="AI30" s="1548"/>
      <c r="AJ30" s="1548"/>
      <c r="AK30" s="1548"/>
      <c r="AL30" s="1548"/>
      <c r="AM30" s="1548"/>
      <c r="AN30" s="1548"/>
      <c r="AO30" s="1548"/>
      <c r="AP30" s="1548"/>
      <c r="AQ30" s="1548"/>
      <c r="AR30" s="1548"/>
      <c r="AS30" s="1548"/>
      <c r="AT30" s="1548"/>
      <c r="AU30" s="1548"/>
      <c r="AV30" s="1548"/>
      <c r="AW30" s="1548"/>
      <c r="AX30" s="1548"/>
      <c r="AY30" s="1548"/>
      <c r="AZ30" s="1548"/>
      <c r="BB30" s="1535" t="str">
        <f ca="1">IF('Admin Settings'!$J$25="Person 1 only","Person 1",IF('Admin Settings'!$J$25="Person 2 only","Person 2","Person 1"))</f>
        <v>Person 1</v>
      </c>
      <c r="BC30" s="1535"/>
      <c r="BD30" s="1535"/>
      <c r="BE30" s="1535"/>
      <c r="BF30" s="1535"/>
      <c r="BG30" s="1535"/>
      <c r="BH30" s="1535"/>
      <c r="BI30" s="1535"/>
      <c r="BJ30" s="1535"/>
      <c r="BK30" s="1535"/>
      <c r="BL30" s="1535"/>
      <c r="BO30" s="1535" t="str">
        <f ca="1">IF('Age Pension Calculator'!V8="Single","",IF('Admin Settings'!$J$26="Person 1 only","Person 1",IF('Admin Settings'!$J$26="Person 2 only","Person 2","Person 2")))</f>
        <v>Person 1</v>
      </c>
      <c r="BP30" s="1535"/>
      <c r="BQ30" s="1535"/>
      <c r="BR30" s="1535"/>
      <c r="BS30" s="1535"/>
      <c r="BT30" s="1535"/>
      <c r="BU30" s="1535"/>
      <c r="BV30" s="1535"/>
      <c r="BW30" s="1535"/>
      <c r="BX30" s="1535"/>
      <c r="BY30" s="1535"/>
    </row>
    <row r="31" spans="2:100" s="1135" customFormat="1">
      <c r="Y31" s="1548" t="str">
        <f>IF(AnnuityMoney="Account-Based Pension (super)","Investment amount (rolled over)","Investment amount")</f>
        <v>Investment amount (rolled over)</v>
      </c>
      <c r="Z31" s="1548"/>
      <c r="AA31" s="1548"/>
      <c r="AB31" s="1548"/>
      <c r="AC31" s="1548"/>
      <c r="AD31" s="1548"/>
      <c r="AE31" s="1548"/>
      <c r="AF31" s="1548"/>
      <c r="AG31" s="1548"/>
      <c r="AH31" s="1548"/>
      <c r="AI31" s="1548"/>
      <c r="AJ31" s="1548"/>
      <c r="AK31" s="1548"/>
      <c r="AL31" s="1548"/>
      <c r="AM31" s="1548"/>
      <c r="AN31" s="1548"/>
      <c r="AO31" s="1548"/>
      <c r="AP31" s="1548"/>
      <c r="AQ31" s="1548"/>
      <c r="AR31" s="1548"/>
      <c r="AS31" s="1548"/>
      <c r="AT31" s="1548"/>
      <c r="AU31" s="1548"/>
      <c r="AV31" s="1548"/>
      <c r="AW31" s="1548"/>
      <c r="AX31" s="1548"/>
      <c r="AY31" s="1548"/>
      <c r="AZ31" s="1548"/>
      <c r="BB31" s="1536">
        <f>ChalLLAnnuityPerson1</f>
        <v>100000</v>
      </c>
      <c r="BC31" s="1536"/>
      <c r="BD31" s="1536"/>
      <c r="BE31" s="1536"/>
      <c r="BF31" s="1536"/>
      <c r="BG31" s="1536"/>
      <c r="BH31" s="1536"/>
      <c r="BI31" s="1536"/>
      <c r="BJ31" s="1536"/>
      <c r="BK31" s="1536"/>
      <c r="BL31" s="1536"/>
      <c r="BO31" s="1536">
        <f>IF('Age Pension Calculator'!V8="Single","",ChalLLAnnuityPerson2)</f>
        <v>75000</v>
      </c>
      <c r="BP31" s="1536"/>
      <c r="BQ31" s="1536"/>
      <c r="BR31" s="1536"/>
      <c r="BS31" s="1536"/>
      <c r="BT31" s="1536"/>
      <c r="BU31" s="1536"/>
      <c r="BV31" s="1536"/>
      <c r="BW31" s="1536"/>
      <c r="BX31" s="1536"/>
      <c r="BY31" s="1536"/>
    </row>
    <row r="32" spans="2:100" s="1135" customFormat="1">
      <c r="AF32" s="1548" t="s">
        <v>664</v>
      </c>
      <c r="AG32" s="1548"/>
      <c r="AH32" s="1548"/>
      <c r="AI32" s="1548"/>
      <c r="AJ32" s="1548"/>
      <c r="AK32" s="1548"/>
      <c r="AL32" s="1548"/>
      <c r="AM32" s="1548"/>
      <c r="AN32" s="1548"/>
      <c r="AO32" s="1548"/>
      <c r="AP32" s="1548"/>
      <c r="AQ32" s="1548"/>
      <c r="AR32" s="1548"/>
      <c r="AS32" s="1548"/>
      <c r="AT32" s="1548"/>
      <c r="AU32" s="1548"/>
      <c r="AV32" s="1548"/>
      <c r="AW32" s="1548"/>
      <c r="AX32" s="1548"/>
      <c r="AY32" s="1548"/>
      <c r="AZ32" s="1548"/>
      <c r="BB32" s="1146" t="str">
        <f>'Admin Settings'!I86</f>
        <v>Regular income</v>
      </c>
      <c r="BC32" s="1146"/>
      <c r="BD32" s="1146"/>
      <c r="BE32" s="1146"/>
      <c r="BF32" s="1146"/>
      <c r="BG32" s="1146"/>
      <c r="BH32" s="1146"/>
      <c r="BI32" s="1146"/>
      <c r="BJ32" s="1146"/>
      <c r="BK32" s="1146"/>
      <c r="BL32" s="1146"/>
      <c r="BM32" s="1146"/>
      <c r="BO32" s="1535" t="str">
        <f>IF('Age Pension Calculator'!V8="Single","",'Admin Settings'!I87)</f>
        <v>Regular income</v>
      </c>
      <c r="BP32" s="1535"/>
      <c r="BQ32" s="1535"/>
      <c r="BR32" s="1535"/>
      <c r="BS32" s="1535"/>
      <c r="BT32" s="1535"/>
      <c r="BU32" s="1535"/>
      <c r="BV32" s="1535"/>
      <c r="BW32" s="1535"/>
      <c r="BX32" s="1535"/>
      <c r="BY32" s="1535"/>
      <c r="BZ32" s="1535"/>
    </row>
    <row r="33" spans="2:100" s="1135" customFormat="1">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t="s">
        <v>1193</v>
      </c>
      <c r="BB33" s="1551" t="str">
        <f>'Age Pension report'!O286</f>
        <v>Nil</v>
      </c>
      <c r="BC33" s="1535"/>
      <c r="BD33" s="1535"/>
      <c r="BE33" s="1535"/>
      <c r="BF33" s="1535"/>
      <c r="BG33" s="1535"/>
      <c r="BH33" s="1535"/>
      <c r="BI33" s="1535"/>
      <c r="BJ33" s="1535"/>
      <c r="BK33" s="1535"/>
      <c r="BL33" s="1535"/>
      <c r="BO33" s="1551" t="str">
        <f>IF('Age Pension Calculator'!V8="Single","",'Age Pension report'!V286)</f>
        <v>Nil</v>
      </c>
      <c r="BP33" s="1535"/>
      <c r="BQ33" s="1535"/>
      <c r="BR33" s="1535"/>
      <c r="BS33" s="1535"/>
      <c r="BT33" s="1535"/>
      <c r="BU33" s="1535"/>
      <c r="BV33" s="1535"/>
      <c r="BW33" s="1535"/>
      <c r="BX33" s="1535"/>
      <c r="BY33" s="1535"/>
    </row>
    <row r="34" spans="2:100" s="1135" customFormat="1">
      <c r="AF34" s="1548" t="s">
        <v>1191</v>
      </c>
      <c r="AG34" s="1548"/>
      <c r="AH34" s="1548"/>
      <c r="AI34" s="1548"/>
      <c r="AJ34" s="1548"/>
      <c r="AK34" s="1548"/>
      <c r="AL34" s="1548"/>
      <c r="AM34" s="1548"/>
      <c r="AN34" s="1548"/>
      <c r="AO34" s="1548"/>
      <c r="AP34" s="1548"/>
      <c r="AQ34" s="1548"/>
      <c r="AR34" s="1548"/>
      <c r="AS34" s="1548"/>
      <c r="AT34" s="1548"/>
      <c r="AU34" s="1548"/>
      <c r="AV34" s="1548"/>
      <c r="AW34" s="1548"/>
      <c r="AX34" s="1548"/>
      <c r="AY34" s="1548"/>
      <c r="AZ34" s="1548"/>
      <c r="BB34" s="1550">
        <f ca="1">'Admin Settings'!K86</f>
        <v>0.75</v>
      </c>
      <c r="BC34" s="1535"/>
      <c r="BD34" s="1535"/>
      <c r="BE34" s="1535"/>
      <c r="BF34" s="1535"/>
      <c r="BG34" s="1535"/>
      <c r="BH34" s="1535"/>
      <c r="BI34" s="1535"/>
      <c r="BJ34" s="1535"/>
      <c r="BK34" s="1535"/>
      <c r="BL34" s="1535"/>
      <c r="BO34" s="1550">
        <f ca="1">IF('Age Pension Calculator'!V8="Single","",'Admin Settings'!K87)</f>
        <v>0.75</v>
      </c>
      <c r="BP34" s="1535"/>
      <c r="BQ34" s="1535"/>
      <c r="BR34" s="1535"/>
      <c r="BS34" s="1535"/>
      <c r="BT34" s="1535"/>
      <c r="BU34" s="1535"/>
      <c r="BV34" s="1535"/>
      <c r="BW34" s="1535"/>
      <c r="BX34" s="1535"/>
      <c r="BY34" s="1535"/>
    </row>
    <row r="35" spans="2:100" s="1135" customFormat="1">
      <c r="AF35" s="1548" t="s">
        <v>669</v>
      </c>
      <c r="AG35" s="1548"/>
      <c r="AH35" s="1548"/>
      <c r="AI35" s="1548"/>
      <c r="AJ35" s="1548"/>
      <c r="AK35" s="1548"/>
      <c r="AL35" s="1548"/>
      <c r="AM35" s="1548"/>
      <c r="AN35" s="1548"/>
      <c r="AO35" s="1548"/>
      <c r="AP35" s="1548"/>
      <c r="AQ35" s="1548"/>
      <c r="AR35" s="1548"/>
      <c r="AS35" s="1548"/>
      <c r="AT35" s="1548"/>
      <c r="AU35" s="1548"/>
      <c r="AV35" s="1548"/>
      <c r="AW35" s="1548"/>
      <c r="AX35" s="1548"/>
      <c r="AY35" s="1548"/>
      <c r="AZ35" s="1548"/>
      <c r="BB35" s="1551">
        <f>'Admin Settings'!M86</f>
        <v>2.1999999999999999E-2</v>
      </c>
      <c r="BC35" s="1535"/>
      <c r="BD35" s="1535"/>
      <c r="BE35" s="1535"/>
      <c r="BF35" s="1535"/>
      <c r="BG35" s="1535"/>
      <c r="BH35" s="1535"/>
      <c r="BI35" s="1535"/>
      <c r="BJ35" s="1535"/>
      <c r="BK35" s="1535"/>
      <c r="BL35" s="1535"/>
      <c r="BO35" s="1551">
        <f>IF('Age Pension Calculator'!V8="Single","",'Admin Settings'!M87)</f>
        <v>2.1999999999999999E-2</v>
      </c>
      <c r="BP35" s="1535"/>
      <c r="BQ35" s="1535"/>
      <c r="BR35" s="1535"/>
      <c r="BS35" s="1535"/>
      <c r="BT35" s="1535"/>
      <c r="BU35" s="1535"/>
      <c r="BV35" s="1535"/>
      <c r="BW35" s="1535"/>
      <c r="BX35" s="1535"/>
      <c r="BY35" s="1535"/>
    </row>
    <row r="36" spans="2:100" s="1135" customFormat="1">
      <c r="BB36" s="1549" t="str">
        <f>IF(BB35=0,"","("&amp;TEXT(BB35*BB31,"$#,###")&amp;")")</f>
        <v>($2,200)</v>
      </c>
      <c r="BC36" s="1549"/>
      <c r="BD36" s="1549"/>
      <c r="BE36" s="1549"/>
      <c r="BF36" s="1549"/>
      <c r="BG36" s="1549"/>
      <c r="BH36" s="1549"/>
      <c r="BI36" s="1549"/>
      <c r="BJ36" s="1549"/>
      <c r="BK36" s="1549"/>
      <c r="BL36" s="1549"/>
      <c r="BM36" s="1549"/>
      <c r="BN36" s="1549"/>
      <c r="BO36" s="1549" t="str">
        <f>IF('Age Pension Calculator'!V8="Single","",IF(BO35=0,"","("&amp;TEXT(BO35*BO31,"$#,###")&amp;")"))</f>
        <v>($1,650)</v>
      </c>
      <c r="BP36" s="1549"/>
      <c r="BQ36" s="1549"/>
      <c r="BR36" s="1549"/>
      <c r="BS36" s="1549"/>
      <c r="BT36" s="1549"/>
      <c r="BU36" s="1549"/>
      <c r="BV36" s="1549"/>
      <c r="BW36" s="1549"/>
      <c r="BX36" s="1549"/>
      <c r="BY36" s="1549"/>
      <c r="BZ36" s="1549"/>
      <c r="CA36" s="1549"/>
    </row>
    <row r="37" spans="2:100" s="1135" customFormat="1" ht="9" customHeight="1"/>
    <row r="38" spans="2:100" s="1135" customFormat="1">
      <c r="B38" s="1542" t="s">
        <v>1199</v>
      </c>
      <c r="C38" s="1542"/>
      <c r="D38" s="1542"/>
      <c r="E38" s="1542"/>
      <c r="F38" s="1542"/>
      <c r="G38" s="1542"/>
      <c r="H38" s="1542"/>
      <c r="I38" s="1542"/>
      <c r="J38" s="1542"/>
      <c r="K38" s="1542"/>
      <c r="L38" s="1542"/>
      <c r="M38" s="1542"/>
      <c r="N38" s="1542"/>
      <c r="O38" s="1542"/>
      <c r="P38" s="1542"/>
      <c r="Q38" s="1542"/>
      <c r="R38" s="1542"/>
      <c r="S38" s="1542"/>
      <c r="T38" s="1542"/>
      <c r="U38" s="1542"/>
      <c r="V38" s="1542"/>
      <c r="W38" s="1542"/>
      <c r="X38" s="1542"/>
      <c r="Y38" s="1542"/>
      <c r="Z38" s="1542"/>
      <c r="AA38" s="1542"/>
      <c r="AB38" s="1542"/>
      <c r="AC38" s="1542"/>
      <c r="AD38" s="1542"/>
      <c r="AE38" s="1542"/>
      <c r="AF38" s="1542"/>
      <c r="AG38" s="1542"/>
      <c r="AH38" s="1542"/>
      <c r="AI38" s="1542"/>
      <c r="AJ38" s="1542"/>
      <c r="AK38" s="1542"/>
      <c r="AL38" s="1542"/>
      <c r="AM38" s="1542"/>
      <c r="AN38" s="1542"/>
      <c r="AO38" s="1542"/>
      <c r="AP38" s="1542"/>
      <c r="AQ38" s="1542"/>
      <c r="AR38" s="1542"/>
      <c r="AS38" s="1542"/>
      <c r="AT38" s="1542"/>
      <c r="AU38" s="1542"/>
      <c r="AV38" s="1542"/>
      <c r="AW38" s="1542"/>
      <c r="AX38" s="1542"/>
      <c r="AY38" s="1542"/>
      <c r="AZ38" s="1542"/>
      <c r="BA38" s="1542"/>
      <c r="BB38" s="1542"/>
      <c r="BC38" s="1542"/>
      <c r="BD38" s="1542"/>
      <c r="BE38" s="1542"/>
      <c r="BF38" s="1542"/>
      <c r="BG38" s="1542"/>
      <c r="BH38" s="1542"/>
      <c r="BI38" s="1542"/>
      <c r="BJ38" s="1542"/>
      <c r="BK38" s="1542"/>
      <c r="BL38" s="1542"/>
      <c r="BM38" s="1542"/>
      <c r="BN38" s="1542"/>
      <c r="BO38" s="1542"/>
      <c r="BP38" s="1542"/>
      <c r="BQ38" s="1542"/>
      <c r="BR38" s="1542"/>
      <c r="BS38" s="1542"/>
      <c r="BT38" s="1542"/>
      <c r="BU38" s="1542"/>
      <c r="BV38" s="1542"/>
      <c r="BW38" s="1542"/>
      <c r="BX38" s="1542"/>
      <c r="BY38" s="1542"/>
      <c r="BZ38" s="1542"/>
      <c r="CA38" s="1542"/>
      <c r="CB38" s="1542"/>
      <c r="CC38" s="1542"/>
      <c r="CD38" s="1542"/>
      <c r="CE38" s="1542"/>
      <c r="CF38" s="1542"/>
      <c r="CG38" s="1542"/>
      <c r="CH38" s="1542"/>
      <c r="CI38" s="1542"/>
      <c r="CJ38" s="1542"/>
      <c r="CK38" s="1542"/>
      <c r="CL38" s="1542"/>
      <c r="CM38" s="1542"/>
      <c r="CN38" s="1542"/>
      <c r="CO38" s="1542"/>
      <c r="CP38" s="1542"/>
      <c r="CQ38" s="1542"/>
      <c r="CR38" s="1542"/>
      <c r="CS38" s="1542"/>
      <c r="CT38" s="1542"/>
      <c r="CU38" s="1542"/>
      <c r="CV38" s="1542"/>
    </row>
    <row r="39" spans="2:100" s="1135" customFormat="1" ht="23.25" customHeight="1">
      <c r="B39" s="1537" t="str">
        <f>IF('Admin Settings'!E38+'Admin Settings'!E39=0,"There are no Account-Based Pensions in the illustration.",IF('Age Pension Calculator'!V8="Single","The above outcomes are based on having "&amp;TEXT('Admin Settings'!E38+'Admin Settings'!E39,"$#,###")&amp;" of the Account-Based Pension (super) structured as follows:","The above outcomes are based on having "&amp;TEXT('Admin Settings'!E38+'Admin Settings'!E39,"$#,###")&amp;" of the Account-Based Pensions (super) structured as follows:"))</f>
        <v>The above outcomes are based on having $175,000 of the Account-Based Pensions (super) structured as follows:</v>
      </c>
      <c r="C39" s="1537"/>
      <c r="D39" s="1537"/>
      <c r="E39" s="1537"/>
      <c r="F39" s="1537"/>
      <c r="G39" s="1537"/>
      <c r="H39" s="1537"/>
      <c r="I39" s="1537"/>
      <c r="J39" s="1537"/>
      <c r="K39" s="1537"/>
      <c r="L39" s="1537"/>
      <c r="M39" s="1537"/>
      <c r="N39" s="1537"/>
      <c r="O39" s="1537"/>
      <c r="P39" s="1537"/>
      <c r="Q39" s="1537"/>
      <c r="R39" s="1537"/>
      <c r="S39" s="1537"/>
      <c r="T39" s="1537"/>
      <c r="U39" s="1537"/>
      <c r="V39" s="1537"/>
      <c r="W39" s="1537"/>
      <c r="X39" s="1537"/>
      <c r="Y39" s="1537"/>
      <c r="Z39" s="1537"/>
      <c r="AA39" s="1537"/>
      <c r="AB39" s="1537"/>
      <c r="AC39" s="1537"/>
      <c r="AD39" s="1537"/>
      <c r="AE39" s="1537"/>
      <c r="AF39" s="1537"/>
      <c r="AG39" s="1537"/>
      <c r="AH39" s="1537"/>
      <c r="AI39" s="1537"/>
      <c r="AJ39" s="1537"/>
      <c r="AK39" s="1537"/>
      <c r="AL39" s="1537"/>
      <c r="AM39" s="1537"/>
      <c r="AN39" s="1537"/>
      <c r="AO39" s="1537"/>
      <c r="AP39" s="1537"/>
      <c r="AQ39" s="1537"/>
      <c r="AR39" s="1537"/>
      <c r="AS39" s="1537"/>
      <c r="AT39" s="1537"/>
      <c r="AU39" s="1537"/>
      <c r="AV39" s="1537"/>
      <c r="AW39" s="1537"/>
      <c r="AX39" s="1537"/>
      <c r="AY39" s="1537"/>
      <c r="AZ39" s="1537"/>
      <c r="BA39" s="1537"/>
      <c r="BB39" s="1537"/>
      <c r="BC39" s="1537"/>
      <c r="BD39" s="1537"/>
      <c r="BE39" s="1537"/>
      <c r="BF39" s="1537"/>
      <c r="BG39" s="1537"/>
      <c r="BH39" s="1537"/>
      <c r="BI39" s="1537"/>
      <c r="BJ39" s="1537"/>
      <c r="BK39" s="1537"/>
      <c r="BL39" s="1537"/>
      <c r="BM39" s="1537"/>
      <c r="BN39" s="1537"/>
      <c r="BO39" s="1537"/>
      <c r="BP39" s="1537"/>
      <c r="BQ39" s="1537"/>
      <c r="BR39" s="1537"/>
      <c r="BS39" s="1537"/>
      <c r="BT39" s="1537"/>
      <c r="BU39" s="1537"/>
      <c r="BV39" s="1537"/>
      <c r="BW39" s="1537"/>
      <c r="BX39" s="1537"/>
      <c r="BY39" s="1537"/>
      <c r="BZ39" s="1537"/>
      <c r="CA39" s="1537"/>
      <c r="CB39" s="1537"/>
      <c r="CC39" s="1537"/>
      <c r="CD39" s="1537"/>
      <c r="CE39" s="1537"/>
      <c r="CF39" s="1537"/>
      <c r="CG39" s="1537"/>
      <c r="CH39" s="1537"/>
      <c r="CI39" s="1537"/>
      <c r="CJ39" s="1537"/>
      <c r="CK39" s="1537"/>
      <c r="CL39" s="1537"/>
      <c r="CM39" s="1537"/>
      <c r="CN39" s="1537"/>
      <c r="CO39" s="1537"/>
      <c r="CP39" s="1537"/>
      <c r="CQ39" s="1537"/>
      <c r="CR39" s="1537"/>
      <c r="CS39" s="1537"/>
      <c r="CT39" s="1537"/>
      <c r="CU39" s="1537"/>
      <c r="CV39" s="1537"/>
    </row>
    <row r="40" spans="2:100" s="1135" customFormat="1" ht="11.25" customHeight="1"/>
    <row r="41" spans="2:100" s="1135" customFormat="1">
      <c r="AE41" s="1548" t="s">
        <v>1190</v>
      </c>
      <c r="AF41" s="1548"/>
      <c r="AG41" s="1548"/>
      <c r="AH41" s="1548"/>
      <c r="AI41" s="1548"/>
      <c r="AJ41" s="1548"/>
      <c r="AK41" s="1548"/>
      <c r="AL41" s="1548"/>
      <c r="AM41" s="1548"/>
      <c r="AN41" s="1548"/>
      <c r="AO41" s="1548"/>
      <c r="AP41" s="1548"/>
      <c r="AQ41" s="1548"/>
      <c r="AR41" s="1548"/>
      <c r="AS41" s="1548"/>
      <c r="AT41" s="1548"/>
      <c r="AU41" s="1548"/>
      <c r="AV41" s="1548"/>
      <c r="AW41" s="1548"/>
      <c r="AX41" s="1548"/>
      <c r="AY41" s="1548"/>
      <c r="BB41" s="1535" t="str">
        <f ca="1">BB30</f>
        <v>Person 1</v>
      </c>
      <c r="BC41" s="1535"/>
      <c r="BD41" s="1535"/>
      <c r="BE41" s="1535"/>
      <c r="BF41" s="1535"/>
      <c r="BG41" s="1535"/>
      <c r="BH41" s="1535"/>
      <c r="BI41" s="1535"/>
      <c r="BJ41" s="1535"/>
      <c r="BK41" s="1535"/>
      <c r="BL41" s="1535"/>
      <c r="BO41" s="1535" t="str">
        <f ca="1">BO30</f>
        <v>Person 1</v>
      </c>
      <c r="BP41" s="1535"/>
      <c r="BQ41" s="1535"/>
      <c r="BR41" s="1535"/>
      <c r="BS41" s="1535"/>
      <c r="BT41" s="1535"/>
      <c r="BU41" s="1535"/>
      <c r="BV41" s="1535"/>
      <c r="BW41" s="1535"/>
      <c r="BX41" s="1535"/>
      <c r="BY41" s="1535"/>
    </row>
    <row r="42" spans="2:100" s="1135" customFormat="1">
      <c r="W42" s="1552" t="s">
        <v>1214</v>
      </c>
      <c r="X42" s="1552"/>
      <c r="Y42" s="1552"/>
      <c r="Z42" s="1552"/>
      <c r="AA42" s="1552"/>
      <c r="AB42" s="1552"/>
      <c r="AC42" s="1552"/>
      <c r="AD42" s="1552"/>
      <c r="AE42" s="1552"/>
      <c r="AF42" s="1552"/>
      <c r="AG42" s="1552"/>
      <c r="AH42" s="1552"/>
      <c r="AI42" s="1552"/>
      <c r="AJ42" s="1552"/>
      <c r="AK42" s="1552"/>
      <c r="AL42" s="1552"/>
      <c r="AM42" s="1552"/>
      <c r="AN42" s="1552"/>
      <c r="AO42" s="1552"/>
      <c r="AP42" s="1552"/>
      <c r="AQ42" s="1552"/>
      <c r="AR42" s="1552"/>
      <c r="AS42" s="1552"/>
      <c r="AT42" s="1552"/>
      <c r="AU42" s="1552"/>
      <c r="AV42" s="1552"/>
      <c r="AW42" s="1552"/>
      <c r="AX42" s="1552"/>
      <c r="AY42" s="1552"/>
      <c r="BB42" s="1536">
        <f>'Admin Settings'!E38</f>
        <v>100000</v>
      </c>
      <c r="BC42" s="1536"/>
      <c r="BD42" s="1536"/>
      <c r="BE42" s="1536"/>
      <c r="BF42" s="1536"/>
      <c r="BG42" s="1536"/>
      <c r="BH42" s="1536"/>
      <c r="BI42" s="1536"/>
      <c r="BJ42" s="1536"/>
      <c r="BK42" s="1536"/>
      <c r="BL42" s="1536"/>
      <c r="BO42" s="1536">
        <f>IF('Age Pension Calculator'!V8="Single","",'Admin Settings'!E39)</f>
        <v>75000</v>
      </c>
      <c r="BP42" s="1536"/>
      <c r="BQ42" s="1536"/>
      <c r="BR42" s="1536"/>
      <c r="BS42" s="1536"/>
      <c r="BT42" s="1536"/>
      <c r="BU42" s="1536"/>
      <c r="BV42" s="1536"/>
      <c r="BW42" s="1536"/>
      <c r="BX42" s="1536"/>
      <c r="BY42" s="1536"/>
    </row>
    <row r="43" spans="2:100" s="1135" customFormat="1">
      <c r="AE43" s="1548" t="s">
        <v>1192</v>
      </c>
      <c r="AF43" s="1548"/>
      <c r="AG43" s="1548"/>
      <c r="AH43" s="1548"/>
      <c r="AI43" s="1548"/>
      <c r="AJ43" s="1548"/>
      <c r="AK43" s="1548"/>
      <c r="AL43" s="1548"/>
      <c r="AM43" s="1548"/>
      <c r="AN43" s="1548"/>
      <c r="AO43" s="1548"/>
      <c r="AP43" s="1548"/>
      <c r="AQ43" s="1548"/>
      <c r="AR43" s="1548"/>
      <c r="AS43" s="1548"/>
      <c r="AT43" s="1548"/>
      <c r="AU43" s="1548"/>
      <c r="AV43" s="1548"/>
      <c r="AW43" s="1548"/>
      <c r="AX43" s="1548"/>
      <c r="AY43" s="1548"/>
      <c r="BB43" s="1549">
        <f ca="1">IF(BB42=0,0,IF('Deterministic Output'!R7&lt;BB42*'Admin Settings'!E11,"Minimum",'Deterministic Output'!R7))</f>
        <v>25109.467475538157</v>
      </c>
      <c r="BC43" s="1549"/>
      <c r="BD43" s="1549"/>
      <c r="BE43" s="1549"/>
      <c r="BF43" s="1549"/>
      <c r="BG43" s="1549"/>
      <c r="BH43" s="1549"/>
      <c r="BI43" s="1549"/>
      <c r="BJ43" s="1549"/>
      <c r="BK43" s="1549"/>
      <c r="BL43" s="1549"/>
      <c r="BO43" s="1549">
        <f ca="1">IF('Age Pension Calculator'!V8="Single","",IF(BO42=0,0,IF('Deterministic Output'!R9&lt;BO42*'Admin Settings'!F11,"Minimum",'Deterministic Output'!R9)))</f>
        <v>18832.100606653621</v>
      </c>
      <c r="BP43" s="1549"/>
      <c r="BQ43" s="1549"/>
      <c r="BR43" s="1549"/>
      <c r="BS43" s="1549"/>
      <c r="BT43" s="1549"/>
      <c r="BU43" s="1549"/>
      <c r="BV43" s="1549"/>
      <c r="BW43" s="1549"/>
      <c r="BX43" s="1549"/>
      <c r="BY43" s="1549"/>
    </row>
    <row r="44" spans="2:100" s="1135" customFormat="1" ht="27.75" customHeight="1">
      <c r="AE44" s="1548" t="s">
        <v>1194</v>
      </c>
      <c r="AF44" s="1548"/>
      <c r="AG44" s="1548"/>
      <c r="AH44" s="1548"/>
      <c r="AI44" s="1548"/>
      <c r="AJ44" s="1548"/>
      <c r="AK44" s="1548"/>
      <c r="AL44" s="1548"/>
      <c r="AM44" s="1548"/>
      <c r="AN44" s="1548"/>
      <c r="AO44" s="1548"/>
      <c r="AP44" s="1548"/>
      <c r="AQ44" s="1548"/>
      <c r="AR44" s="1548"/>
      <c r="AS44" s="1548"/>
      <c r="AT44" s="1548"/>
      <c r="AU44" s="1548"/>
      <c r="AV44" s="1548"/>
      <c r="AW44" s="1548"/>
      <c r="AX44" s="1548"/>
      <c r="AY44" s="1548"/>
      <c r="BB44" s="1551">
        <f>'Admin Settings'!N38</f>
        <v>0.8</v>
      </c>
      <c r="BC44" s="1551"/>
      <c r="BD44" s="1551"/>
      <c r="BE44" s="1551"/>
      <c r="BF44" s="1551"/>
      <c r="BG44" s="1551"/>
      <c r="BH44" s="1551"/>
      <c r="BI44" s="1551"/>
      <c r="BJ44" s="1551"/>
      <c r="BK44" s="1551"/>
      <c r="BL44" s="1551"/>
      <c r="BO44" s="1551">
        <f>IF('Age Pension Calculator'!V8="Single","",BB44)</f>
        <v>0.8</v>
      </c>
      <c r="BP44" s="1551"/>
      <c r="BQ44" s="1551"/>
      <c r="BR44" s="1551"/>
      <c r="BS44" s="1551"/>
      <c r="BT44" s="1551"/>
      <c r="BU44" s="1551"/>
      <c r="BV44" s="1551"/>
      <c r="BW44" s="1551"/>
      <c r="BX44" s="1551"/>
      <c r="BY44" s="1551"/>
    </row>
    <row r="45" spans="2:100" s="1135" customFormat="1">
      <c r="BB45" s="1536" t="str">
        <f>"("&amp;TEXT(BB44*BB42,"$#,###")&amp;")"</f>
        <v>($80,000)</v>
      </c>
      <c r="BC45" s="1536"/>
      <c r="BD45" s="1536"/>
      <c r="BE45" s="1536"/>
      <c r="BF45" s="1536"/>
      <c r="BG45" s="1536"/>
      <c r="BH45" s="1536"/>
      <c r="BI45" s="1536"/>
      <c r="BJ45" s="1536"/>
      <c r="BK45" s="1536"/>
      <c r="BL45" s="1536"/>
      <c r="BO45" s="1536" t="str">
        <f>IF('Age Pension Calculator'!V8="Single","","("&amp;TEXT(BO44*BO42,"$#,###")&amp;")")</f>
        <v>($60,000)</v>
      </c>
      <c r="BP45" s="1535"/>
      <c r="BQ45" s="1535"/>
      <c r="BR45" s="1535"/>
      <c r="BS45" s="1535"/>
      <c r="BT45" s="1535"/>
      <c r="BU45" s="1535"/>
      <c r="BV45" s="1535"/>
      <c r="BW45" s="1535"/>
      <c r="BX45" s="1535"/>
      <c r="BY45" s="1535"/>
    </row>
    <row r="46" spans="2:100" s="1135" customFormat="1">
      <c r="AE46" s="1548" t="s">
        <v>1195</v>
      </c>
      <c r="AF46" s="1548"/>
      <c r="AG46" s="1548"/>
      <c r="AH46" s="1548"/>
      <c r="AI46" s="1548"/>
      <c r="AJ46" s="1548"/>
      <c r="AK46" s="1548"/>
      <c r="AL46" s="1548"/>
      <c r="AM46" s="1548"/>
      <c r="AN46" s="1548"/>
      <c r="AO46" s="1548"/>
      <c r="AP46" s="1548"/>
      <c r="AQ46" s="1548"/>
      <c r="AR46" s="1548"/>
      <c r="AS46" s="1548"/>
      <c r="AT46" s="1548"/>
      <c r="AU46" s="1548"/>
      <c r="AV46" s="1548"/>
      <c r="AW46" s="1548"/>
      <c r="AX46" s="1548"/>
      <c r="AY46" s="1548"/>
      <c r="BB46" s="1551">
        <f>'Admin Settings'!N39</f>
        <v>0.2</v>
      </c>
      <c r="BC46" s="1535"/>
      <c r="BD46" s="1535"/>
      <c r="BE46" s="1535"/>
      <c r="BF46" s="1535"/>
      <c r="BG46" s="1535"/>
      <c r="BH46" s="1535"/>
      <c r="BI46" s="1535"/>
      <c r="BJ46" s="1535"/>
      <c r="BK46" s="1535"/>
      <c r="BL46" s="1535"/>
      <c r="BO46" s="1551">
        <f>IF('Age Pension Calculator'!V8="Single","",BB46)</f>
        <v>0.2</v>
      </c>
      <c r="BP46" s="1535"/>
      <c r="BQ46" s="1535"/>
      <c r="BR46" s="1535"/>
      <c r="BS46" s="1535"/>
      <c r="BT46" s="1535"/>
      <c r="BU46" s="1535"/>
      <c r="BV46" s="1535"/>
      <c r="BW46" s="1535"/>
      <c r="BX46" s="1535"/>
      <c r="BY46" s="1535"/>
    </row>
    <row r="47" spans="2:100" s="1135" customFormat="1">
      <c r="BB47" s="1536" t="str">
        <f>"("&amp;TEXT(BB46*BB42,"$#,###")&amp;")"</f>
        <v>($20,000)</v>
      </c>
      <c r="BC47" s="1536"/>
      <c r="BD47" s="1536"/>
      <c r="BE47" s="1536"/>
      <c r="BF47" s="1536"/>
      <c r="BG47" s="1536"/>
      <c r="BH47" s="1536"/>
      <c r="BI47" s="1536"/>
      <c r="BJ47" s="1536"/>
      <c r="BK47" s="1536"/>
      <c r="BL47" s="1536"/>
      <c r="BO47" s="1536" t="str">
        <f>IF('Age Pension Calculator'!V8="Single","","("&amp;TEXT(BO46*BO42,"$#,###")&amp;")")</f>
        <v>($15,000)</v>
      </c>
      <c r="BP47" s="1536"/>
      <c r="BQ47" s="1536"/>
      <c r="BR47" s="1536"/>
      <c r="BS47" s="1536"/>
      <c r="BT47" s="1536"/>
      <c r="BU47" s="1536"/>
      <c r="BV47" s="1536"/>
      <c r="BW47" s="1536"/>
      <c r="BX47" s="1536"/>
    </row>
    <row r="49" spans="2:100" s="1135" customFormat="1">
      <c r="B49" s="1545"/>
      <c r="C49" s="1545"/>
      <c r="D49" s="1545"/>
      <c r="E49" s="1545"/>
      <c r="F49" s="1545"/>
      <c r="G49" s="1545"/>
      <c r="H49" s="1545"/>
      <c r="I49" s="1545"/>
      <c r="J49" s="1545"/>
      <c r="K49" s="1545"/>
      <c r="L49" s="1545"/>
      <c r="M49" s="1545"/>
      <c r="N49" s="1545"/>
      <c r="O49" s="1545"/>
      <c r="P49" s="1545"/>
      <c r="Q49" s="1545"/>
      <c r="R49" s="1545"/>
      <c r="S49" s="1545"/>
      <c r="T49" s="1545"/>
      <c r="U49" s="1545"/>
      <c r="V49" s="1545"/>
      <c r="W49" s="1545"/>
      <c r="X49" s="1545"/>
      <c r="Y49" s="1545"/>
      <c r="Z49" s="1545"/>
      <c r="AA49" s="1545"/>
      <c r="AB49" s="1545"/>
      <c r="AC49" s="1545"/>
      <c r="AD49" s="1545"/>
      <c r="AE49" s="1545"/>
      <c r="AF49" s="1545"/>
      <c r="AG49" s="1545"/>
      <c r="AH49" s="1545"/>
      <c r="AI49" s="1545"/>
      <c r="AJ49" s="1545"/>
      <c r="AK49" s="1545"/>
      <c r="AL49" s="1545"/>
      <c r="AM49" s="1545"/>
      <c r="AN49" s="1545"/>
      <c r="AO49" s="1545"/>
      <c r="AP49" s="1545"/>
      <c r="AQ49" s="1545"/>
      <c r="AR49" s="1545"/>
      <c r="AS49" s="1545"/>
      <c r="AT49" s="1545"/>
      <c r="AU49" s="1545"/>
      <c r="AV49" s="1545"/>
      <c r="AW49" s="1545"/>
      <c r="AX49" s="1545"/>
      <c r="AY49" s="1545"/>
      <c r="AZ49" s="1545"/>
      <c r="BA49" s="1545"/>
      <c r="BB49" s="1545"/>
      <c r="BC49" s="1545"/>
      <c r="BD49" s="1545"/>
      <c r="BE49" s="1545"/>
      <c r="BF49" s="1545"/>
      <c r="BG49" s="1545"/>
      <c r="BH49" s="1545"/>
      <c r="BI49" s="1545"/>
      <c r="BJ49" s="1545"/>
      <c r="BK49" s="1545"/>
      <c r="BL49" s="1545"/>
      <c r="BM49" s="1545"/>
      <c r="BN49" s="1545"/>
      <c r="BO49" s="1545"/>
      <c r="BP49" s="1545"/>
      <c r="BQ49" s="1545"/>
      <c r="BR49" s="1545"/>
      <c r="BS49" s="1545"/>
      <c r="BT49" s="1545"/>
      <c r="BU49" s="1545"/>
      <c r="BV49" s="1545"/>
      <c r="BW49" s="1545"/>
      <c r="BX49" s="1545"/>
      <c r="BY49" s="1545"/>
      <c r="BZ49" s="1545"/>
      <c r="CA49" s="1545"/>
      <c r="CB49" s="1545"/>
      <c r="CC49" s="1545"/>
      <c r="CD49" s="1545"/>
      <c r="CE49" s="1545"/>
      <c r="CF49" s="1545"/>
      <c r="CG49" s="1545"/>
      <c r="CH49" s="1545"/>
      <c r="CI49" s="1545"/>
      <c r="CJ49" s="1545"/>
      <c r="CK49" s="1545"/>
      <c r="CL49" s="1545"/>
      <c r="CM49" s="1545"/>
      <c r="CN49" s="1545"/>
      <c r="CO49" s="1545"/>
      <c r="CP49" s="1545"/>
      <c r="CQ49" s="1545"/>
      <c r="CR49" s="1545"/>
      <c r="CS49" s="1545"/>
      <c r="CT49" s="1545"/>
      <c r="CU49" s="1545"/>
      <c r="CV49" s="1545"/>
    </row>
    <row r="51" spans="2:100" s="1135" customFormat="1" ht="34.5" customHeight="1">
      <c r="B51" s="1540"/>
      <c r="C51" s="1535"/>
      <c r="D51" s="1535"/>
      <c r="E51" s="1535"/>
      <c r="F51" s="1535"/>
      <c r="G51" s="1535"/>
      <c r="H51" s="1535"/>
      <c r="I51" s="1535"/>
      <c r="J51" s="1535"/>
      <c r="K51" s="1535"/>
      <c r="L51" s="1535"/>
      <c r="M51" s="1535"/>
      <c r="N51" s="1535"/>
      <c r="O51" s="1535"/>
      <c r="P51" s="1535"/>
      <c r="Q51" s="1535"/>
      <c r="R51" s="1535"/>
      <c r="S51" s="1535"/>
      <c r="T51" s="1535"/>
      <c r="U51" s="1535"/>
      <c r="V51" s="1535"/>
      <c r="W51" s="1535"/>
      <c r="X51" s="1535"/>
      <c r="Y51" s="1535"/>
      <c r="Z51" s="1535"/>
      <c r="AA51" s="1535"/>
      <c r="AB51" s="1535"/>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c r="BG51" s="1535"/>
      <c r="BH51" s="1535"/>
      <c r="BI51" s="1535"/>
      <c r="BJ51" s="1535"/>
      <c r="BK51" s="1535"/>
      <c r="BL51" s="1535"/>
      <c r="BM51" s="1535"/>
      <c r="BN51" s="1535"/>
      <c r="BO51" s="1535"/>
      <c r="BP51" s="1535"/>
      <c r="BQ51" s="1535"/>
      <c r="BR51" s="1535"/>
      <c r="BS51" s="1535"/>
      <c r="BT51" s="1535"/>
      <c r="BU51" s="1535"/>
      <c r="BV51" s="1535"/>
      <c r="BW51" s="1535"/>
      <c r="BX51" s="1535"/>
      <c r="BY51" s="1535"/>
      <c r="BZ51" s="1535"/>
      <c r="CA51" s="1535"/>
      <c r="CB51" s="1535"/>
      <c r="CC51" s="1535"/>
      <c r="CD51" s="1535"/>
      <c r="CE51" s="1535"/>
      <c r="CF51" s="1535"/>
      <c r="CG51" s="1535"/>
      <c r="CH51" s="1535"/>
      <c r="CI51" s="1535"/>
      <c r="CJ51" s="1535"/>
      <c r="CK51" s="1535"/>
      <c r="CL51" s="1535"/>
      <c r="CM51" s="1535"/>
      <c r="CN51" s="1535"/>
      <c r="CO51" s="1535"/>
      <c r="CP51" s="1535"/>
      <c r="CQ51" s="1535"/>
      <c r="CR51" s="1535"/>
      <c r="CS51" s="1535"/>
      <c r="CT51" s="1535"/>
      <c r="CU51" s="1535"/>
      <c r="CV51" s="1535"/>
    </row>
    <row r="52" spans="2:100" s="1135" customFormat="1" ht="28.5" customHeight="1">
      <c r="B52" s="1540"/>
      <c r="C52" s="1540"/>
      <c r="D52" s="1540"/>
      <c r="E52" s="1540"/>
      <c r="F52" s="1540"/>
      <c r="G52" s="1540"/>
      <c r="H52" s="1540"/>
      <c r="I52" s="1540"/>
      <c r="J52" s="1540"/>
      <c r="K52" s="1540"/>
      <c r="L52" s="1540"/>
      <c r="M52" s="1540"/>
      <c r="N52" s="1540"/>
      <c r="O52" s="1540"/>
      <c r="P52" s="1540"/>
      <c r="Q52" s="1540"/>
      <c r="R52" s="1540"/>
      <c r="S52" s="1540"/>
      <c r="T52" s="1540"/>
      <c r="U52" s="1540"/>
      <c r="V52" s="1540"/>
      <c r="W52" s="1540"/>
      <c r="X52" s="1540"/>
      <c r="Y52" s="1540"/>
      <c r="Z52" s="1540"/>
      <c r="AA52" s="1540"/>
      <c r="AB52" s="1540"/>
      <c r="AC52" s="1540"/>
      <c r="AD52" s="1540"/>
      <c r="AE52" s="1540"/>
      <c r="AF52" s="1540"/>
      <c r="AG52" s="1540"/>
      <c r="AH52" s="1540"/>
      <c r="AI52" s="1540"/>
      <c r="AJ52" s="1540"/>
      <c r="AK52" s="1540"/>
      <c r="AL52" s="1540"/>
      <c r="AM52" s="1540"/>
      <c r="AN52" s="1540"/>
      <c r="AO52" s="1540"/>
      <c r="AP52" s="1540"/>
      <c r="AQ52" s="1540"/>
      <c r="AR52" s="1540"/>
      <c r="AS52" s="1540"/>
      <c r="AT52" s="1540"/>
      <c r="AU52" s="1540"/>
      <c r="AV52" s="1540"/>
      <c r="AW52" s="1540"/>
      <c r="AX52" s="1540"/>
      <c r="AY52" s="1540"/>
      <c r="AZ52" s="1540"/>
      <c r="BA52" s="1540"/>
      <c r="BB52" s="1540"/>
      <c r="BC52" s="1540"/>
      <c r="BD52" s="1540"/>
      <c r="BE52" s="1540"/>
      <c r="BF52" s="1540"/>
      <c r="BG52" s="1540"/>
      <c r="BH52" s="1540"/>
      <c r="BI52" s="1540"/>
      <c r="BJ52" s="1540"/>
      <c r="BK52" s="1540"/>
      <c r="BL52" s="1540"/>
      <c r="BM52" s="1540"/>
      <c r="BN52" s="1540"/>
      <c r="BO52" s="1540"/>
      <c r="BP52" s="1540"/>
      <c r="BQ52" s="1540"/>
      <c r="BR52" s="1540"/>
      <c r="BS52" s="1540"/>
      <c r="BT52" s="1540"/>
      <c r="BU52" s="1540"/>
      <c r="BV52" s="1540"/>
      <c r="BW52" s="1540"/>
      <c r="BX52" s="1540"/>
      <c r="BY52" s="1540"/>
      <c r="BZ52" s="1540"/>
      <c r="CA52" s="1540"/>
      <c r="CB52" s="1540"/>
      <c r="CC52" s="1540"/>
      <c r="CD52" s="1540"/>
      <c r="CE52" s="1540"/>
      <c r="CF52" s="1540"/>
      <c r="CG52" s="1540"/>
      <c r="CH52" s="1540"/>
      <c r="CI52" s="1540"/>
      <c r="CJ52" s="1540"/>
      <c r="CK52" s="1540"/>
      <c r="CL52" s="1540"/>
      <c r="CM52" s="1540"/>
      <c r="CN52" s="1540"/>
      <c r="CO52" s="1540"/>
      <c r="CP52" s="1540"/>
      <c r="CQ52" s="1540"/>
      <c r="CR52" s="1540"/>
      <c r="CS52" s="1540"/>
      <c r="CT52" s="1540"/>
      <c r="CU52" s="1540"/>
      <c r="CV52" s="1540"/>
    </row>
    <row r="53" spans="2:100" s="1135" customFormat="1" ht="26.25" customHeight="1">
      <c r="B53" s="1544"/>
      <c r="C53" s="1544"/>
      <c r="D53" s="1544"/>
      <c r="E53" s="1544"/>
      <c r="F53" s="1544"/>
      <c r="G53" s="1544"/>
      <c r="H53" s="1544"/>
      <c r="I53" s="1544"/>
      <c r="J53" s="1544"/>
      <c r="K53" s="1544"/>
      <c r="L53" s="1544"/>
      <c r="M53" s="1544"/>
      <c r="N53" s="1544"/>
      <c r="O53" s="1544"/>
      <c r="P53" s="1544"/>
      <c r="Q53" s="1544"/>
      <c r="R53" s="1544"/>
      <c r="S53" s="1544"/>
      <c r="T53" s="1544"/>
      <c r="U53" s="1544"/>
      <c r="V53" s="1544"/>
      <c r="W53" s="1544"/>
      <c r="X53" s="1544"/>
      <c r="Y53" s="1544"/>
      <c r="Z53" s="1544"/>
      <c r="AA53" s="1544"/>
      <c r="AB53" s="1544"/>
      <c r="AC53" s="1544"/>
      <c r="AD53" s="1544"/>
      <c r="AE53" s="1544"/>
      <c r="AF53" s="1544"/>
      <c r="AG53" s="1544"/>
      <c r="AH53" s="1544"/>
      <c r="AI53" s="1544"/>
      <c r="AJ53" s="1544"/>
      <c r="AK53" s="1544"/>
      <c r="AL53" s="1544"/>
      <c r="AM53" s="1544"/>
      <c r="AN53" s="1544"/>
      <c r="AO53" s="1544"/>
      <c r="AP53" s="1544"/>
      <c r="AQ53" s="1544"/>
      <c r="AR53" s="1544"/>
      <c r="AS53" s="1544"/>
      <c r="AT53" s="1544"/>
      <c r="AU53" s="1544"/>
      <c r="AV53" s="1544"/>
      <c r="AW53" s="1544"/>
      <c r="AX53" s="1544"/>
      <c r="AY53" s="1544"/>
      <c r="AZ53" s="1544"/>
      <c r="BA53" s="1544"/>
      <c r="BB53" s="1544"/>
      <c r="BC53" s="1544"/>
      <c r="BD53" s="1544"/>
      <c r="BE53" s="1544"/>
      <c r="BF53" s="1544"/>
      <c r="BG53" s="1544"/>
      <c r="BH53" s="1544"/>
      <c r="BI53" s="1544"/>
      <c r="BJ53" s="1544"/>
      <c r="BK53" s="1544"/>
      <c r="BL53" s="1544"/>
      <c r="BM53" s="1544"/>
      <c r="BN53" s="1544"/>
      <c r="BO53" s="1544"/>
      <c r="BP53" s="1544"/>
      <c r="BQ53" s="1544"/>
      <c r="BR53" s="1544"/>
      <c r="BS53" s="1544"/>
      <c r="BT53" s="1544"/>
      <c r="BU53" s="1544"/>
      <c r="BV53" s="1544"/>
      <c r="BW53" s="1544"/>
      <c r="BX53" s="1544"/>
      <c r="BY53" s="1544"/>
      <c r="BZ53" s="1544"/>
      <c r="CA53" s="1544"/>
      <c r="CB53" s="1544"/>
      <c r="CC53" s="1544"/>
      <c r="CD53" s="1544"/>
      <c r="CE53" s="1544"/>
      <c r="CF53" s="1544"/>
      <c r="CG53" s="1544"/>
      <c r="CH53" s="1544"/>
      <c r="CI53" s="1544"/>
      <c r="CJ53" s="1544"/>
      <c r="CK53" s="1544"/>
      <c r="CL53" s="1544"/>
      <c r="CM53" s="1544"/>
      <c r="CN53" s="1544"/>
      <c r="CO53" s="1544"/>
      <c r="CP53" s="1544"/>
      <c r="CQ53" s="1544"/>
      <c r="CR53" s="1544"/>
      <c r="CS53" s="1544"/>
      <c r="CT53" s="1544"/>
      <c r="CU53" s="1544"/>
      <c r="CV53" s="1544"/>
    </row>
    <row r="54" spans="2:100" s="1135" customFormat="1" ht="38.25" customHeight="1">
      <c r="B54" s="1540"/>
      <c r="C54" s="1540"/>
      <c r="D54" s="1540"/>
      <c r="E54" s="1540"/>
      <c r="F54" s="1540"/>
      <c r="G54" s="1540"/>
      <c r="H54" s="1540"/>
      <c r="I54" s="1540"/>
      <c r="J54" s="1540"/>
      <c r="K54" s="1540"/>
      <c r="L54" s="1540"/>
      <c r="M54" s="1540"/>
      <c r="N54" s="1540"/>
      <c r="O54" s="1540"/>
      <c r="P54" s="1540"/>
      <c r="Q54" s="1540"/>
      <c r="R54" s="1540"/>
      <c r="S54" s="1540"/>
      <c r="T54" s="1540"/>
      <c r="U54" s="1540"/>
      <c r="V54" s="1540"/>
      <c r="W54" s="1540"/>
      <c r="X54" s="1540"/>
      <c r="Y54" s="1540"/>
      <c r="Z54" s="1540"/>
      <c r="AA54" s="1540"/>
      <c r="AB54" s="1540"/>
      <c r="AC54" s="1540"/>
      <c r="AD54" s="1540"/>
      <c r="AE54" s="1540"/>
      <c r="AF54" s="1540"/>
      <c r="AG54" s="1540"/>
      <c r="AH54" s="1540"/>
      <c r="AI54" s="1540"/>
      <c r="AJ54" s="1540"/>
      <c r="AK54" s="1540"/>
      <c r="AL54" s="1540"/>
      <c r="AM54" s="1540"/>
      <c r="AN54" s="1540"/>
      <c r="AO54" s="1540"/>
      <c r="AP54" s="1540"/>
      <c r="AQ54" s="1540"/>
      <c r="AR54" s="1540"/>
      <c r="AS54" s="1540"/>
      <c r="AT54" s="1540"/>
      <c r="AU54" s="1540"/>
      <c r="AV54" s="1540"/>
      <c r="AW54" s="1540"/>
      <c r="AX54" s="1540"/>
      <c r="AY54" s="1540"/>
      <c r="AZ54" s="1540"/>
      <c r="BA54" s="1540"/>
      <c r="BB54" s="1540"/>
      <c r="BC54" s="1540"/>
      <c r="BD54" s="1540"/>
      <c r="BE54" s="1540"/>
      <c r="BF54" s="1540"/>
      <c r="BG54" s="1540"/>
      <c r="BH54" s="1540"/>
      <c r="BI54" s="1540"/>
      <c r="BJ54" s="1540"/>
      <c r="BK54" s="1540"/>
      <c r="BL54" s="1540"/>
      <c r="BM54" s="1540"/>
      <c r="BN54" s="1540"/>
      <c r="BO54" s="1540"/>
      <c r="BP54" s="1540"/>
      <c r="BQ54" s="1540"/>
      <c r="BR54" s="1540"/>
      <c r="BS54" s="1540"/>
      <c r="BT54" s="1540"/>
      <c r="BU54" s="1540"/>
      <c r="BV54" s="1540"/>
      <c r="BW54" s="1540"/>
      <c r="BX54" s="1540"/>
      <c r="BY54" s="1540"/>
      <c r="BZ54" s="1540"/>
      <c r="CA54" s="1540"/>
      <c r="CB54" s="1540"/>
      <c r="CC54" s="1540"/>
      <c r="CD54" s="1540"/>
      <c r="CE54" s="1540"/>
      <c r="CF54" s="1540"/>
      <c r="CG54" s="1540"/>
      <c r="CH54" s="1540"/>
      <c r="CI54" s="1540"/>
      <c r="CJ54" s="1540"/>
      <c r="CK54" s="1540"/>
      <c r="CL54" s="1540"/>
      <c r="CM54" s="1540"/>
      <c r="CN54" s="1540"/>
      <c r="CO54" s="1540"/>
      <c r="CP54" s="1540"/>
      <c r="CQ54" s="1540"/>
      <c r="CR54" s="1540"/>
      <c r="CS54" s="1540"/>
      <c r="CT54" s="1540"/>
      <c r="CU54" s="1540"/>
      <c r="CV54" s="1540"/>
    </row>
  </sheetData>
  <sheetProtection password="FBCA" sheet="1" objects="1" scenarios="1"/>
  <mergeCells count="69">
    <mergeCell ref="B8:C8"/>
    <mergeCell ref="D8:CV8"/>
    <mergeCell ref="B1:CV1"/>
    <mergeCell ref="E4:Z4"/>
    <mergeCell ref="AN4:BH4"/>
    <mergeCell ref="BU4:CP4"/>
    <mergeCell ref="B6:CV6"/>
    <mergeCell ref="B10:C10"/>
    <mergeCell ref="D10:CV10"/>
    <mergeCell ref="B12:C12"/>
    <mergeCell ref="D12:CV12"/>
    <mergeCell ref="B14:C14"/>
    <mergeCell ref="D14:CV14"/>
    <mergeCell ref="B28:CV28"/>
    <mergeCell ref="B16:C16"/>
    <mergeCell ref="D16:CV16"/>
    <mergeCell ref="B18:C18"/>
    <mergeCell ref="D18:CV18"/>
    <mergeCell ref="B20:C20"/>
    <mergeCell ref="D20:CV20"/>
    <mergeCell ref="B22:C22"/>
    <mergeCell ref="D22:CV22"/>
    <mergeCell ref="B23:CV23"/>
    <mergeCell ref="B25:CV25"/>
    <mergeCell ref="B27:CV27"/>
    <mergeCell ref="AF30:AZ30"/>
    <mergeCell ref="BB30:BL30"/>
    <mergeCell ref="BO30:BY30"/>
    <mergeCell ref="Y31:AZ31"/>
    <mergeCell ref="BB31:BL31"/>
    <mergeCell ref="BO31:BY31"/>
    <mergeCell ref="B38:CV38"/>
    <mergeCell ref="AF32:AZ32"/>
    <mergeCell ref="BO32:BZ32"/>
    <mergeCell ref="BB33:BL33"/>
    <mergeCell ref="BO33:BY33"/>
    <mergeCell ref="AF34:AZ34"/>
    <mergeCell ref="BB34:BL34"/>
    <mergeCell ref="BO34:BY34"/>
    <mergeCell ref="AF35:AZ35"/>
    <mergeCell ref="BB35:BL35"/>
    <mergeCell ref="BO35:BY35"/>
    <mergeCell ref="BB36:BN36"/>
    <mergeCell ref="BO36:CA36"/>
    <mergeCell ref="B39:CV39"/>
    <mergeCell ref="AE41:AY41"/>
    <mergeCell ref="BB41:BL41"/>
    <mergeCell ref="BO41:BY41"/>
    <mergeCell ref="W42:AY42"/>
    <mergeCell ref="BB42:BL42"/>
    <mergeCell ref="BO42:BY42"/>
    <mergeCell ref="BB47:BL47"/>
    <mergeCell ref="BO47:BX47"/>
    <mergeCell ref="AE43:AY43"/>
    <mergeCell ref="BB43:BL43"/>
    <mergeCell ref="BO43:BY43"/>
    <mergeCell ref="AE44:AY44"/>
    <mergeCell ref="BB44:BL44"/>
    <mergeCell ref="BO44:BY44"/>
    <mergeCell ref="BB45:BL45"/>
    <mergeCell ref="BO45:BY45"/>
    <mergeCell ref="AE46:AY46"/>
    <mergeCell ref="BB46:BL46"/>
    <mergeCell ref="BO46:BY46"/>
    <mergeCell ref="B49:CV49"/>
    <mergeCell ref="B51:CV51"/>
    <mergeCell ref="B52:CV52"/>
    <mergeCell ref="B53:CV53"/>
    <mergeCell ref="B54:CV54"/>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3" id="{BCC9AF75-D640-463F-8CDB-6BBC1E6E1C7A}">
            <xm:f>'Age Pension Calculator'!V19="Single"</xm:f>
            <x14:dxf>
              <font>
                <color theme="0"/>
              </font>
              <fill>
                <patternFill>
                  <bgColor theme="0"/>
                </patternFill>
              </fill>
              <border>
                <left/>
                <right/>
                <top/>
                <bottom/>
              </border>
            </x14:dxf>
          </x14:cfRule>
          <xm:sqref>BO41:BY41</xm:sqref>
        </x14:conditionalFormatting>
        <x14:conditionalFormatting xmlns:xm="http://schemas.microsoft.com/office/excel/2006/main">
          <x14:cfRule type="expression" priority="2" id="{C87D05E7-9F50-460D-B1E7-47CBCA8EF202}">
            <xm:f>AND('Admin Settings'!$N$38=0,'Admin Settings'!$N$39=0)</xm:f>
            <x14:dxf>
              <font>
                <color theme="0"/>
              </font>
            </x14:dxf>
          </x14:cfRule>
          <xm:sqref>B22:C22</xm:sqref>
        </x14:conditionalFormatting>
        <x14:conditionalFormatting xmlns:xm="http://schemas.microsoft.com/office/excel/2006/main">
          <x14:cfRule type="expression" priority="1" id="{FC2C8BCE-9AA8-41FF-821C-CEE7866C7BAE}">
            <xm:f>'Admin Settings'!$M$40=0</xm:f>
            <x14:dxf>
              <font>
                <color theme="0"/>
              </font>
            </x14:dxf>
          </x14:cfRule>
          <xm:sqref>W41:BY47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M293"/>
  <sheetViews>
    <sheetView topLeftCell="A251" workbookViewId="0">
      <selection activeCell="K288" sqref="K288"/>
    </sheetView>
    <sheetView topLeftCell="A36" workbookViewId="1">
      <selection activeCell="K133" sqref="K133"/>
    </sheetView>
  </sheetViews>
  <sheetFormatPr defaultColWidth="11" defaultRowHeight="15.75"/>
  <cols>
    <col min="1" max="1" width="25.25" style="4" customWidth="1"/>
    <col min="2" max="2" width="17.875" style="4" customWidth="1"/>
    <col min="3" max="3" width="18" style="4" customWidth="1"/>
    <col min="4" max="4" width="20.875" style="4" customWidth="1"/>
    <col min="5" max="5" width="14.75" style="4" customWidth="1"/>
    <col min="6" max="6" width="17.125" style="4" customWidth="1"/>
    <col min="7" max="7" width="13.375" style="4" customWidth="1"/>
    <col min="8" max="8" width="13.625" style="4" customWidth="1"/>
    <col min="9" max="9" width="14.375" style="4" customWidth="1"/>
    <col min="10" max="10" width="11.375" style="4" customWidth="1"/>
    <col min="11" max="11" width="13.625" style="4" bestFit="1" customWidth="1"/>
    <col min="12" max="12" width="13" style="4" customWidth="1"/>
    <col min="13" max="16384" width="11" style="4"/>
  </cols>
  <sheetData>
    <row r="1" spans="1:13">
      <c r="A1" s="433"/>
      <c r="B1" s="433"/>
      <c r="C1" s="433"/>
      <c r="D1" s="433"/>
      <c r="E1" s="433"/>
      <c r="F1" s="433"/>
      <c r="G1" s="433"/>
      <c r="H1" s="433"/>
      <c r="I1" s="433"/>
      <c r="J1" s="433"/>
      <c r="K1" s="433"/>
      <c r="L1" s="433"/>
      <c r="M1" s="433"/>
    </row>
    <row r="2" spans="1:13">
      <c r="A2" s="434" t="s">
        <v>150</v>
      </c>
      <c r="B2" s="435"/>
      <c r="C2" s="435"/>
      <c r="D2" s="435"/>
      <c r="E2" s="435"/>
      <c r="F2" s="435"/>
      <c r="G2" s="435"/>
      <c r="H2" s="435"/>
      <c r="I2" s="436"/>
      <c r="J2" s="436"/>
      <c r="K2" s="436"/>
      <c r="L2" s="436"/>
      <c r="M2" s="436"/>
    </row>
    <row r="3" spans="1:13" s="49" customFormat="1">
      <c r="A3" s="437">
        <v>42649</v>
      </c>
      <c r="B3" s="438"/>
      <c r="C3" s="438"/>
      <c r="D3" s="438"/>
      <c r="E3" s="438"/>
      <c r="F3" s="438"/>
      <c r="G3" s="438"/>
      <c r="H3" s="438"/>
      <c r="I3" s="439"/>
      <c r="J3" s="439"/>
      <c r="K3" s="439"/>
      <c r="L3" s="439"/>
      <c r="M3" s="439"/>
    </row>
    <row r="4" spans="1:13">
      <c r="A4" s="433"/>
      <c r="B4" s="433"/>
      <c r="C4" s="433"/>
      <c r="D4" s="433"/>
      <c r="E4" s="433"/>
      <c r="F4" s="433"/>
      <c r="G4" s="433"/>
      <c r="H4" s="433"/>
      <c r="I4" s="433"/>
      <c r="J4" s="433"/>
      <c r="K4" s="433"/>
      <c r="L4" s="433"/>
      <c r="M4" s="433"/>
    </row>
    <row r="5" spans="1:13">
      <c r="A5" s="434" t="s">
        <v>81</v>
      </c>
      <c r="B5" s="434"/>
      <c r="C5" s="434"/>
      <c r="D5" s="434"/>
      <c r="E5" s="434"/>
      <c r="F5" s="434"/>
      <c r="G5" s="434"/>
      <c r="H5" s="434"/>
      <c r="I5" s="436"/>
      <c r="J5" s="436"/>
      <c r="K5" s="436"/>
      <c r="L5" s="436"/>
      <c r="M5" s="436"/>
    </row>
    <row r="6" spans="1:13">
      <c r="A6" s="440" t="s">
        <v>4</v>
      </c>
      <c r="B6" s="440" t="s">
        <v>5</v>
      </c>
      <c r="C6" s="440" t="s">
        <v>3</v>
      </c>
      <c r="D6" s="436"/>
      <c r="E6" s="441"/>
      <c r="F6" s="436"/>
      <c r="G6" s="436"/>
      <c r="H6" s="436"/>
      <c r="I6" s="436"/>
      <c r="J6" s="436"/>
      <c r="K6" s="436"/>
      <c r="L6" s="436"/>
      <c r="M6" s="436"/>
    </row>
    <row r="7" spans="1:13">
      <c r="A7" s="442">
        <v>1</v>
      </c>
      <c r="B7" s="442">
        <v>1</v>
      </c>
      <c r="C7" s="443">
        <v>60</v>
      </c>
      <c r="D7" s="436"/>
      <c r="E7" s="388" t="s">
        <v>6</v>
      </c>
      <c r="F7" s="436"/>
      <c r="G7" s="436"/>
      <c r="H7" s="436"/>
      <c r="I7" s="436"/>
      <c r="J7" s="436"/>
      <c r="K7" s="436"/>
      <c r="L7" s="436"/>
      <c r="M7" s="436"/>
    </row>
    <row r="8" spans="1:13">
      <c r="A8" s="442">
        <v>12966</v>
      </c>
      <c r="B8" s="442">
        <v>1</v>
      </c>
      <c r="C8" s="443">
        <v>60.5</v>
      </c>
      <c r="D8" s="436"/>
      <c r="E8" s="436"/>
      <c r="F8" s="436"/>
      <c r="G8" s="436"/>
      <c r="H8" s="436"/>
      <c r="I8" s="436"/>
      <c r="J8" s="436"/>
      <c r="K8" s="436"/>
      <c r="L8" s="436"/>
      <c r="M8" s="436"/>
    </row>
    <row r="9" spans="1:13">
      <c r="A9" s="442">
        <v>13516</v>
      </c>
      <c r="B9" s="442">
        <v>1</v>
      </c>
      <c r="C9" s="443">
        <v>61</v>
      </c>
      <c r="D9" s="436"/>
      <c r="E9" s="436"/>
      <c r="F9" s="436"/>
      <c r="G9" s="436"/>
      <c r="H9" s="441" t="s">
        <v>19</v>
      </c>
      <c r="I9" s="436"/>
      <c r="J9" s="436"/>
      <c r="K9" s="436"/>
      <c r="L9" s="436"/>
      <c r="M9" s="436"/>
    </row>
    <row r="10" spans="1:13">
      <c r="A10" s="442">
        <v>14062</v>
      </c>
      <c r="B10" s="442">
        <v>1</v>
      </c>
      <c r="C10" s="443">
        <v>61.5</v>
      </c>
      <c r="D10" s="436"/>
      <c r="E10" s="436"/>
      <c r="F10" s="436"/>
      <c r="G10" s="436"/>
      <c r="H10" s="436"/>
      <c r="I10" s="436"/>
      <c r="J10" s="436"/>
      <c r="K10" s="436"/>
      <c r="L10" s="436"/>
      <c r="M10" s="436"/>
    </row>
    <row r="11" spans="1:13">
      <c r="A11" s="442">
        <v>14611</v>
      </c>
      <c r="B11" s="442">
        <v>1</v>
      </c>
      <c r="C11" s="443">
        <v>62</v>
      </c>
      <c r="D11" s="436"/>
      <c r="E11" s="436"/>
      <c r="F11" s="436"/>
      <c r="G11" s="436"/>
      <c r="H11" s="436"/>
      <c r="I11" s="436"/>
      <c r="J11" s="436"/>
      <c r="K11" s="436"/>
      <c r="L11" s="436"/>
      <c r="M11" s="436"/>
    </row>
    <row r="12" spans="1:13">
      <c r="A12" s="442">
        <v>15158</v>
      </c>
      <c r="B12" s="442">
        <v>1</v>
      </c>
      <c r="C12" s="443">
        <v>62.5</v>
      </c>
      <c r="D12" s="436"/>
      <c r="E12" s="436"/>
      <c r="F12" s="436"/>
      <c r="G12" s="436"/>
      <c r="H12" s="436"/>
      <c r="I12" s="436"/>
      <c r="J12" s="436"/>
      <c r="K12" s="436"/>
      <c r="L12" s="436"/>
      <c r="M12" s="436"/>
    </row>
    <row r="13" spans="1:13">
      <c r="A13" s="442">
        <v>15707</v>
      </c>
      <c r="B13" s="442">
        <v>1</v>
      </c>
      <c r="C13" s="443">
        <v>63</v>
      </c>
      <c r="D13" s="436"/>
      <c r="E13" s="436"/>
      <c r="F13" s="436"/>
      <c r="G13" s="436"/>
      <c r="H13" s="436"/>
      <c r="I13" s="436"/>
      <c r="J13" s="436"/>
      <c r="K13" s="444"/>
      <c r="L13" s="436"/>
      <c r="M13" s="436"/>
    </row>
    <row r="14" spans="1:13">
      <c r="A14" s="442">
        <v>16254</v>
      </c>
      <c r="B14" s="442">
        <v>1</v>
      </c>
      <c r="C14" s="443">
        <v>63.5</v>
      </c>
      <c r="D14" s="436"/>
      <c r="E14" s="436"/>
      <c r="F14" s="436"/>
      <c r="G14" s="436"/>
      <c r="H14" s="436"/>
      <c r="I14" s="436"/>
      <c r="J14" s="436"/>
      <c r="K14" s="444"/>
      <c r="L14" s="436"/>
      <c r="M14" s="444"/>
    </row>
    <row r="15" spans="1:13">
      <c r="A15" s="442">
        <v>16803</v>
      </c>
      <c r="B15" s="442">
        <v>1</v>
      </c>
      <c r="C15" s="443">
        <v>64</v>
      </c>
      <c r="D15" s="436"/>
      <c r="E15" s="436"/>
      <c r="F15" s="436"/>
      <c r="G15" s="436"/>
      <c r="H15" s="436"/>
      <c r="I15" s="436"/>
      <c r="J15" s="436"/>
      <c r="K15" s="436"/>
      <c r="L15" s="436"/>
      <c r="M15" s="444"/>
    </row>
    <row r="16" spans="1:13">
      <c r="A16" s="442">
        <v>17349</v>
      </c>
      <c r="B16" s="442">
        <v>1</v>
      </c>
      <c r="C16" s="443">
        <v>64.5</v>
      </c>
      <c r="D16" s="436"/>
      <c r="E16" s="436"/>
      <c r="F16" s="436"/>
      <c r="G16" s="436"/>
      <c r="H16" s="436"/>
      <c r="I16" s="436"/>
      <c r="J16" s="436"/>
      <c r="K16" s="436"/>
      <c r="L16" s="436"/>
      <c r="M16" s="436"/>
    </row>
    <row r="17" spans="1:13">
      <c r="A17" s="442">
        <v>17899</v>
      </c>
      <c r="B17" s="442">
        <v>1</v>
      </c>
      <c r="C17" s="443">
        <v>65</v>
      </c>
      <c r="D17" s="436"/>
      <c r="E17" s="444"/>
      <c r="F17" s="436"/>
      <c r="G17" s="436"/>
      <c r="H17" s="436"/>
      <c r="I17" s="436"/>
      <c r="J17" s="436"/>
      <c r="K17" s="444"/>
      <c r="L17" s="433"/>
      <c r="M17" s="433"/>
    </row>
    <row r="18" spans="1:13">
      <c r="A18" s="442">
        <v>19176</v>
      </c>
      <c r="B18" s="442">
        <v>19176</v>
      </c>
      <c r="C18" s="443">
        <v>65.5</v>
      </c>
      <c r="D18" s="436"/>
      <c r="E18" s="445"/>
      <c r="F18" s="436"/>
      <c r="G18" s="436"/>
      <c r="H18" s="436"/>
      <c r="I18" s="436"/>
      <c r="J18" s="436"/>
      <c r="K18" s="444"/>
      <c r="L18" s="433"/>
      <c r="M18" s="433"/>
    </row>
    <row r="19" spans="1:13">
      <c r="A19" s="442">
        <v>19725</v>
      </c>
      <c r="B19" s="442">
        <v>19725</v>
      </c>
      <c r="C19" s="443">
        <v>66</v>
      </c>
      <c r="D19" s="436"/>
      <c r="E19" s="436"/>
      <c r="F19" s="436"/>
      <c r="G19" s="436"/>
      <c r="H19" s="436"/>
      <c r="I19" s="436"/>
      <c r="J19" s="436"/>
      <c r="K19" s="436"/>
      <c r="L19" s="433"/>
      <c r="M19" s="433"/>
    </row>
    <row r="20" spans="1:13">
      <c r="A20" s="442">
        <v>20271</v>
      </c>
      <c r="B20" s="442">
        <v>20271</v>
      </c>
      <c r="C20" s="443">
        <v>66.5</v>
      </c>
      <c r="D20" s="436"/>
      <c r="E20" s="436"/>
      <c r="F20" s="436"/>
      <c r="G20" s="436"/>
      <c r="H20" s="436"/>
      <c r="I20" s="436"/>
      <c r="J20" s="436"/>
      <c r="K20" s="436"/>
      <c r="L20" s="433"/>
      <c r="M20" s="433"/>
    </row>
    <row r="21" spans="1:13">
      <c r="A21" s="442">
        <v>20821</v>
      </c>
      <c r="B21" s="442">
        <v>20821</v>
      </c>
      <c r="C21" s="443">
        <v>67</v>
      </c>
      <c r="D21" s="436"/>
      <c r="E21" s="436"/>
      <c r="F21" s="436"/>
      <c r="G21" s="436"/>
      <c r="H21" s="436"/>
      <c r="I21" s="436"/>
      <c r="J21" s="436"/>
      <c r="K21" s="436"/>
      <c r="L21" s="433"/>
      <c r="M21" s="433"/>
    </row>
    <row r="22" spans="1:13">
      <c r="A22" s="433"/>
      <c r="B22" s="433"/>
      <c r="C22" s="433"/>
      <c r="D22" s="433"/>
      <c r="E22" s="433"/>
      <c r="F22" s="433"/>
      <c r="G22" s="433"/>
      <c r="H22" s="433"/>
      <c r="I22" s="433"/>
      <c r="J22" s="433"/>
      <c r="K22" s="433"/>
      <c r="L22" s="433"/>
      <c r="M22" s="433"/>
    </row>
    <row r="23" spans="1:13">
      <c r="A23" s="433"/>
      <c r="B23" s="433"/>
      <c r="C23" s="433"/>
      <c r="D23" s="433"/>
      <c r="E23" s="433"/>
      <c r="F23" s="433"/>
      <c r="G23" s="433"/>
      <c r="H23" s="433"/>
      <c r="I23" s="433"/>
      <c r="J23" s="433"/>
      <c r="K23" s="433"/>
      <c r="L23" s="433"/>
      <c r="M23" s="433"/>
    </row>
    <row r="24" spans="1:13">
      <c r="A24" s="434" t="s">
        <v>82</v>
      </c>
      <c r="B24" s="434"/>
      <c r="C24" s="434"/>
      <c r="D24" s="434"/>
      <c r="E24" s="434"/>
      <c r="F24" s="434"/>
      <c r="G24" s="434"/>
      <c r="H24" s="434"/>
      <c r="I24" s="436"/>
      <c r="J24" s="436"/>
      <c r="K24" s="436"/>
      <c r="L24" s="433"/>
      <c r="M24" s="433"/>
    </row>
    <row r="25" spans="1:13">
      <c r="A25" s="436"/>
      <c r="B25" s="446" t="s">
        <v>83</v>
      </c>
      <c r="C25" s="446"/>
      <c r="D25" s="436"/>
      <c r="E25" s="436"/>
      <c r="F25" s="436"/>
      <c r="G25" s="436"/>
      <c r="H25" s="436"/>
      <c r="I25" s="436"/>
      <c r="J25" s="436"/>
      <c r="K25" s="436"/>
      <c r="L25" s="433"/>
      <c r="M25" s="433"/>
    </row>
    <row r="26" spans="1:13">
      <c r="A26" s="447" t="s">
        <v>0</v>
      </c>
      <c r="B26" s="448">
        <v>4264</v>
      </c>
      <c r="C26" s="449"/>
      <c r="D26" s="436" t="s">
        <v>128</v>
      </c>
      <c r="E26" s="436"/>
      <c r="F26" s="436"/>
      <c r="G26" s="436"/>
      <c r="H26" s="436"/>
      <c r="I26" s="436"/>
      <c r="J26" s="436"/>
      <c r="K26" s="436"/>
      <c r="L26" s="433"/>
      <c r="M26" s="433"/>
    </row>
    <row r="27" spans="1:13">
      <c r="A27" s="447" t="s">
        <v>10</v>
      </c>
      <c r="B27" s="448">
        <v>7592</v>
      </c>
      <c r="C27" s="449"/>
      <c r="D27" s="436"/>
      <c r="E27" s="450"/>
      <c r="F27" s="436"/>
      <c r="G27" s="436"/>
      <c r="H27" s="436"/>
      <c r="I27" s="436"/>
      <c r="J27" s="436"/>
      <c r="K27" s="436"/>
      <c r="L27" s="433"/>
      <c r="M27" s="433"/>
    </row>
    <row r="28" spans="1:13">
      <c r="A28" s="447"/>
      <c r="B28" s="451"/>
      <c r="C28" s="449"/>
      <c r="D28" s="436"/>
      <c r="E28" s="436"/>
      <c r="F28" s="436"/>
      <c r="G28" s="436"/>
      <c r="H28" s="436"/>
      <c r="I28" s="436"/>
      <c r="J28" s="436"/>
      <c r="K28" s="436"/>
      <c r="L28" s="433"/>
      <c r="M28" s="433"/>
    </row>
    <row r="29" spans="1:13">
      <c r="A29" s="436"/>
      <c r="B29" s="436"/>
      <c r="C29" s="436"/>
      <c r="D29" s="436"/>
      <c r="E29" s="436"/>
      <c r="F29" s="436"/>
      <c r="G29" s="436"/>
      <c r="H29" s="449"/>
      <c r="I29" s="449"/>
      <c r="J29" s="449"/>
      <c r="K29" s="449"/>
      <c r="L29" s="433"/>
      <c r="M29" s="433"/>
    </row>
    <row r="30" spans="1:13">
      <c r="A30" s="434" t="s">
        <v>8</v>
      </c>
      <c r="B30" s="434"/>
      <c r="C30" s="434"/>
      <c r="D30" s="434"/>
      <c r="E30" s="434"/>
      <c r="F30" s="434"/>
      <c r="G30" s="434"/>
      <c r="H30" s="434"/>
      <c r="I30" s="436"/>
      <c r="J30" s="436"/>
      <c r="K30" s="436"/>
      <c r="L30" s="433"/>
      <c r="M30" s="433"/>
    </row>
    <row r="31" spans="1:13">
      <c r="A31" s="436"/>
      <c r="B31" s="440" t="s">
        <v>84</v>
      </c>
      <c r="C31" s="452" t="s">
        <v>85</v>
      </c>
      <c r="D31" s="453" t="s">
        <v>86</v>
      </c>
      <c r="E31" s="436" t="s">
        <v>9</v>
      </c>
      <c r="F31" s="436"/>
      <c r="G31" s="436"/>
      <c r="H31" s="436"/>
      <c r="I31" s="436"/>
      <c r="J31" s="436"/>
      <c r="K31" s="436"/>
      <c r="L31" s="433"/>
      <c r="M31" s="433"/>
    </row>
    <row r="32" spans="1:13">
      <c r="A32" s="447" t="s">
        <v>0</v>
      </c>
      <c r="B32" s="448">
        <v>49200</v>
      </c>
      <c r="C32" s="454">
        <v>1.7500000000000002E-2</v>
      </c>
      <c r="D32" s="454">
        <v>3.2500000000000001E-2</v>
      </c>
      <c r="E32" s="436"/>
      <c r="F32" s="436"/>
      <c r="G32" s="436"/>
      <c r="H32" s="436"/>
      <c r="I32" s="436"/>
      <c r="J32" s="436"/>
      <c r="K32" s="436"/>
      <c r="L32" s="433"/>
      <c r="M32" s="433"/>
    </row>
    <row r="33" spans="1:13">
      <c r="A33" s="447" t="s">
        <v>10</v>
      </c>
      <c r="B33" s="448">
        <v>81600</v>
      </c>
      <c r="C33" s="454">
        <v>1.7500000000000002E-2</v>
      </c>
      <c r="D33" s="454">
        <v>3.2500000000000001E-2</v>
      </c>
      <c r="E33" s="436"/>
      <c r="F33" s="436"/>
      <c r="G33" s="436"/>
      <c r="H33" s="436"/>
      <c r="I33" s="433"/>
      <c r="J33" s="433"/>
      <c r="K33" s="433"/>
      <c r="L33" s="433"/>
      <c r="M33" s="433"/>
    </row>
    <row r="34" spans="1:13">
      <c r="A34" s="447"/>
      <c r="B34" s="449"/>
      <c r="C34" s="455"/>
      <c r="D34" s="455"/>
      <c r="E34" s="436"/>
      <c r="F34" s="436"/>
      <c r="G34" s="436"/>
      <c r="H34" s="436"/>
      <c r="I34" s="433"/>
      <c r="J34" s="433"/>
      <c r="K34" s="433"/>
      <c r="L34" s="433"/>
      <c r="M34" s="433"/>
    </row>
    <row r="35" spans="1:13">
      <c r="A35" s="436"/>
      <c r="B35" s="456"/>
      <c r="C35" s="457"/>
      <c r="D35" s="458"/>
      <c r="E35" s="436"/>
      <c r="F35" s="436"/>
      <c r="G35" s="436"/>
      <c r="H35" s="436"/>
      <c r="I35" s="433"/>
      <c r="J35" s="433"/>
      <c r="K35" s="433"/>
      <c r="L35" s="433"/>
      <c r="M35" s="433"/>
    </row>
    <row r="36" spans="1:13">
      <c r="A36" s="447" t="s">
        <v>450</v>
      </c>
      <c r="B36" s="459">
        <v>0.01</v>
      </c>
      <c r="C36" s="460"/>
      <c r="D36" s="455"/>
      <c r="E36" s="436"/>
      <c r="F36" s="436"/>
      <c r="G36" s="436"/>
      <c r="H36" s="436"/>
      <c r="I36" s="433"/>
      <c r="J36" s="433"/>
      <c r="K36" s="433"/>
      <c r="L36" s="433"/>
      <c r="M36" s="433"/>
    </row>
    <row r="37" spans="1:13">
      <c r="A37" s="436"/>
      <c r="B37" s="449"/>
      <c r="C37" s="460"/>
      <c r="D37" s="455"/>
      <c r="E37" s="436"/>
      <c r="F37" s="436"/>
      <c r="G37" s="436"/>
      <c r="H37" s="436"/>
      <c r="I37" s="433"/>
      <c r="J37" s="433"/>
      <c r="K37" s="433"/>
      <c r="L37" s="433"/>
      <c r="M37" s="433"/>
    </row>
    <row r="38" spans="1:13">
      <c r="A38" s="433"/>
      <c r="B38" s="433"/>
      <c r="C38" s="433"/>
      <c r="D38" s="433"/>
      <c r="E38" s="433"/>
      <c r="F38" s="433"/>
      <c r="G38" s="433"/>
      <c r="H38" s="433"/>
      <c r="I38" s="433"/>
      <c r="J38" s="433"/>
      <c r="K38" s="433"/>
      <c r="L38" s="433"/>
      <c r="M38" s="433"/>
    </row>
    <row r="39" spans="1:13">
      <c r="A39" s="434" t="s">
        <v>87</v>
      </c>
      <c r="B39" s="434"/>
      <c r="C39" s="434"/>
      <c r="D39" s="434"/>
      <c r="E39" s="434"/>
      <c r="F39" s="434"/>
      <c r="G39" s="434"/>
      <c r="H39" s="434"/>
      <c r="I39" s="433"/>
      <c r="J39" s="433"/>
      <c r="K39" s="433"/>
      <c r="L39" s="433"/>
      <c r="M39" s="433"/>
    </row>
    <row r="40" spans="1:13">
      <c r="A40" s="436"/>
      <c r="B40" s="440" t="s">
        <v>7</v>
      </c>
      <c r="C40" s="440" t="s">
        <v>131</v>
      </c>
      <c r="D40" s="461" t="s">
        <v>466</v>
      </c>
      <c r="E40" s="440" t="s">
        <v>7</v>
      </c>
      <c r="F40" s="440" t="s">
        <v>131</v>
      </c>
      <c r="G40" s="436"/>
      <c r="H40" s="462" t="s">
        <v>129</v>
      </c>
      <c r="I40" s="433"/>
      <c r="J40" s="433"/>
      <c r="K40" s="433"/>
      <c r="L40" s="433"/>
      <c r="M40" s="433"/>
    </row>
    <row r="41" spans="1:13">
      <c r="A41" s="447" t="s">
        <v>0</v>
      </c>
      <c r="B41" s="448">
        <v>209000</v>
      </c>
      <c r="C41" s="448">
        <v>360500</v>
      </c>
      <c r="D41" s="463" t="s">
        <v>0</v>
      </c>
      <c r="E41" s="451">
        <v>250000</v>
      </c>
      <c r="F41" s="451">
        <v>450000</v>
      </c>
      <c r="G41" s="436"/>
      <c r="H41" s="436"/>
      <c r="I41" s="433"/>
      <c r="J41" s="433"/>
      <c r="K41" s="433"/>
      <c r="L41" s="433"/>
      <c r="M41" s="433"/>
    </row>
    <row r="42" spans="1:13">
      <c r="A42" s="447" t="s">
        <v>10</v>
      </c>
      <c r="B42" s="448">
        <v>296500</v>
      </c>
      <c r="C42" s="448">
        <v>448000</v>
      </c>
      <c r="D42" s="463" t="s">
        <v>10</v>
      </c>
      <c r="E42" s="451">
        <v>375000</v>
      </c>
      <c r="F42" s="451">
        <v>575000</v>
      </c>
      <c r="G42" s="436"/>
      <c r="H42" s="436"/>
      <c r="I42" s="433"/>
      <c r="J42" s="433"/>
      <c r="K42" s="433"/>
      <c r="L42" s="433"/>
      <c r="M42" s="433"/>
    </row>
    <row r="43" spans="1:13">
      <c r="A43" s="447" t="s">
        <v>463</v>
      </c>
      <c r="B43" s="464">
        <v>1.5</v>
      </c>
      <c r="C43" s="449"/>
      <c r="D43" s="463" t="s">
        <v>465</v>
      </c>
      <c r="E43" s="464">
        <v>3</v>
      </c>
      <c r="F43" s="436"/>
      <c r="G43" s="465" t="s">
        <v>464</v>
      </c>
      <c r="H43" s="466">
        <v>42736</v>
      </c>
      <c r="I43" s="433"/>
      <c r="J43" s="433"/>
      <c r="K43" s="433"/>
      <c r="L43" s="433"/>
      <c r="M43" s="433"/>
    </row>
    <row r="44" spans="1:13">
      <c r="A44" s="436"/>
      <c r="B44" s="449"/>
      <c r="C44" s="449"/>
      <c r="D44" s="436"/>
      <c r="E44" s="449"/>
      <c r="F44" s="449"/>
      <c r="G44" s="436"/>
      <c r="H44" s="436"/>
      <c r="I44" s="433"/>
      <c r="J44" s="433"/>
      <c r="K44" s="433"/>
      <c r="L44" s="433"/>
      <c r="M44" s="433"/>
    </row>
    <row r="45" spans="1:13">
      <c r="A45" s="434" t="s">
        <v>453</v>
      </c>
      <c r="B45" s="434"/>
      <c r="C45" s="434"/>
      <c r="D45" s="434"/>
      <c r="E45" s="434"/>
      <c r="F45" s="434"/>
      <c r="G45" s="434"/>
      <c r="H45" s="434"/>
      <c r="I45" s="433"/>
      <c r="J45" s="433"/>
      <c r="K45" s="433"/>
      <c r="L45" s="433"/>
      <c r="M45" s="433"/>
    </row>
    <row r="46" spans="1:13" ht="37.5" customHeight="1">
      <c r="A46" s="467"/>
      <c r="B46" s="467" t="s">
        <v>10</v>
      </c>
      <c r="C46" s="467"/>
      <c r="D46" s="467" t="s">
        <v>435</v>
      </c>
      <c r="E46" s="436"/>
      <c r="F46" s="467"/>
      <c r="G46" s="467"/>
      <c r="H46" s="468" t="s">
        <v>130</v>
      </c>
      <c r="I46" s="433"/>
      <c r="J46" s="433"/>
      <c r="K46" s="433"/>
      <c r="L46" s="433"/>
      <c r="M46" s="433"/>
    </row>
    <row r="47" spans="1:13" ht="21" customHeight="1">
      <c r="A47" s="446" t="s">
        <v>1</v>
      </c>
      <c r="B47" s="469">
        <v>1203</v>
      </c>
      <c r="C47" s="470"/>
      <c r="D47" s="471"/>
      <c r="E47" s="436"/>
      <c r="F47" s="471"/>
      <c r="G47" s="471"/>
      <c r="H47" s="472" t="s">
        <v>1262</v>
      </c>
      <c r="I47" s="433"/>
      <c r="J47" s="433"/>
      <c r="K47" s="433"/>
      <c r="L47" s="433"/>
      <c r="M47" s="433"/>
    </row>
    <row r="48" spans="1:13" ht="35.25" customHeight="1">
      <c r="A48" s="446" t="s">
        <v>2</v>
      </c>
      <c r="B48" s="473">
        <v>98.2</v>
      </c>
      <c r="C48" s="470"/>
      <c r="D48" s="474">
        <v>52.8</v>
      </c>
      <c r="E48" s="436"/>
      <c r="F48" s="475"/>
      <c r="G48" s="471"/>
      <c r="H48" s="476"/>
      <c r="I48" s="433"/>
      <c r="J48" s="433"/>
      <c r="K48" s="433"/>
      <c r="L48" s="433"/>
      <c r="M48" s="433"/>
    </row>
    <row r="49" spans="1:13" ht="33" customHeight="1">
      <c r="A49" s="446" t="s">
        <v>452</v>
      </c>
      <c r="B49" s="469">
        <v>21.2</v>
      </c>
      <c r="C49" s="470"/>
      <c r="D49" s="477">
        <v>21.2</v>
      </c>
      <c r="E49" s="436"/>
      <c r="F49" s="475"/>
      <c r="G49" s="478"/>
      <c r="H49" s="436"/>
      <c r="I49" s="471"/>
      <c r="J49" s="436"/>
      <c r="K49" s="436"/>
      <c r="L49" s="436"/>
      <c r="M49" s="436"/>
    </row>
    <row r="50" spans="1:13" ht="20.100000000000001" customHeight="1">
      <c r="A50" s="446" t="s">
        <v>434</v>
      </c>
      <c r="B50" s="479">
        <v>1322.4</v>
      </c>
      <c r="C50" s="480"/>
      <c r="D50" s="479">
        <v>74</v>
      </c>
      <c r="E50" s="481" t="s">
        <v>434</v>
      </c>
      <c r="F50" s="482"/>
      <c r="G50" s="471"/>
      <c r="H50" s="471"/>
      <c r="I50" s="471"/>
      <c r="J50" s="471"/>
      <c r="K50" s="436"/>
      <c r="L50" s="436"/>
      <c r="M50" s="436"/>
    </row>
    <row r="51" spans="1:13">
      <c r="A51" s="436"/>
      <c r="B51" s="480"/>
      <c r="C51" s="480"/>
      <c r="D51" s="480">
        <v>1918.8</v>
      </c>
      <c r="E51" s="436"/>
      <c r="F51" s="436"/>
      <c r="G51" s="471"/>
      <c r="H51" s="436"/>
      <c r="I51" s="436"/>
      <c r="J51" s="436"/>
      <c r="K51" s="436"/>
      <c r="L51" s="436"/>
      <c r="M51" s="436"/>
    </row>
    <row r="52" spans="1:13">
      <c r="A52" s="446" t="s">
        <v>171</v>
      </c>
      <c r="B52" s="483">
        <v>0.41760000000000003</v>
      </c>
      <c r="C52" s="388" t="s">
        <v>451</v>
      </c>
      <c r="D52" s="463"/>
      <c r="E52" s="484"/>
      <c r="F52" s="436"/>
      <c r="G52" s="471"/>
      <c r="H52" s="436"/>
      <c r="I52" s="436"/>
      <c r="J52" s="436"/>
      <c r="K52" s="436"/>
      <c r="L52" s="436"/>
      <c r="M52" s="436"/>
    </row>
    <row r="53" spans="1:13">
      <c r="A53" s="446" t="s">
        <v>172</v>
      </c>
      <c r="B53" s="483">
        <v>0.6633</v>
      </c>
      <c r="C53" s="436"/>
      <c r="D53" s="463"/>
      <c r="E53" s="484"/>
      <c r="F53" s="433"/>
      <c r="G53" s="433"/>
      <c r="H53" s="433"/>
      <c r="I53" s="433"/>
      <c r="J53" s="436"/>
      <c r="K53" s="436"/>
      <c r="L53" s="436"/>
      <c r="M53" s="436"/>
    </row>
    <row r="54" spans="1:13">
      <c r="A54" s="433"/>
      <c r="B54" s="433"/>
      <c r="C54" s="433"/>
      <c r="D54" s="433"/>
      <c r="E54" s="433"/>
      <c r="F54" s="433"/>
      <c r="G54" s="433"/>
      <c r="H54" s="433"/>
      <c r="I54" s="433"/>
      <c r="J54" s="433"/>
      <c r="K54" s="433"/>
      <c r="L54" s="433"/>
      <c r="M54" s="433"/>
    </row>
    <row r="55" spans="1:13">
      <c r="A55" s="433"/>
      <c r="B55" s="433"/>
      <c r="C55" s="433"/>
      <c r="D55" s="433"/>
      <c r="E55" s="433"/>
      <c r="F55" s="433"/>
      <c r="G55" s="433"/>
      <c r="H55" s="433"/>
      <c r="I55" s="433"/>
      <c r="J55" s="433"/>
      <c r="K55" s="433"/>
      <c r="L55" s="433"/>
      <c r="M55" s="433"/>
    </row>
    <row r="56" spans="1:13" customFormat="1" ht="15" customHeight="1">
      <c r="A56" s="434" t="s">
        <v>390</v>
      </c>
      <c r="B56" s="434"/>
      <c r="C56" s="434"/>
      <c r="D56" s="434"/>
      <c r="E56" s="434"/>
      <c r="F56" s="434"/>
      <c r="G56" s="434"/>
      <c r="H56" s="287" t="s">
        <v>389</v>
      </c>
      <c r="I56" s="434"/>
      <c r="J56" s="434"/>
      <c r="K56" s="434"/>
      <c r="L56" s="434"/>
      <c r="M56" s="434"/>
    </row>
    <row r="57" spans="1:13" ht="15" customHeight="1">
      <c r="A57" s="441"/>
      <c r="B57" s="1571" t="s">
        <v>391</v>
      </c>
      <c r="C57" s="1571"/>
      <c r="D57" s="1572" t="s">
        <v>89</v>
      </c>
      <c r="E57" s="1572"/>
      <c r="F57" s="1572" t="s">
        <v>90</v>
      </c>
      <c r="G57" s="1572"/>
      <c r="H57" s="441"/>
      <c r="I57" s="441"/>
      <c r="J57" s="441"/>
      <c r="K57" s="441"/>
      <c r="L57" s="441"/>
      <c r="M57" s="441"/>
    </row>
    <row r="58" spans="1:13" customFormat="1" ht="15" customHeight="1">
      <c r="A58" s="51" t="s">
        <v>3</v>
      </c>
      <c r="B58" s="51" t="s">
        <v>4</v>
      </c>
      <c r="C58" s="51" t="s">
        <v>5</v>
      </c>
      <c r="D58" s="51" t="s">
        <v>55</v>
      </c>
      <c r="E58" s="51" t="s">
        <v>56</v>
      </c>
      <c r="F58" s="51" t="s">
        <v>55</v>
      </c>
      <c r="G58" s="51" t="s">
        <v>56</v>
      </c>
      <c r="H58" s="433"/>
      <c r="I58" s="433"/>
      <c r="J58" s="433"/>
      <c r="K58" s="433"/>
      <c r="L58" s="433"/>
      <c r="M58" s="433"/>
    </row>
    <row r="59" spans="1:13" customFormat="1" ht="15" customHeight="1">
      <c r="A59" s="20">
        <v>0</v>
      </c>
      <c r="B59" s="20">
        <v>84.31</v>
      </c>
      <c r="C59" s="20">
        <v>80.06</v>
      </c>
      <c r="D59" s="20">
        <v>83.67</v>
      </c>
      <c r="E59" s="20">
        <v>79.02</v>
      </c>
      <c r="F59" s="20">
        <v>82.87</v>
      </c>
      <c r="G59" s="20">
        <v>77.64</v>
      </c>
      <c r="H59" s="433"/>
      <c r="I59" s="433"/>
      <c r="J59" s="433"/>
      <c r="K59" s="433"/>
      <c r="L59" s="433"/>
      <c r="M59" s="433"/>
    </row>
    <row r="60" spans="1:13" customFormat="1" ht="15" customHeight="1">
      <c r="A60" s="20">
        <v>1</v>
      </c>
      <c r="B60" s="20">
        <v>83.6</v>
      </c>
      <c r="C60" s="20">
        <v>79.39</v>
      </c>
      <c r="D60" s="20">
        <v>83.04</v>
      </c>
      <c r="E60" s="20">
        <v>78.44</v>
      </c>
      <c r="F60" s="20">
        <v>82.25</v>
      </c>
      <c r="G60" s="20">
        <v>77.08</v>
      </c>
      <c r="H60" s="433"/>
      <c r="I60" s="433"/>
      <c r="J60" s="433"/>
      <c r="K60" s="433"/>
      <c r="L60" s="433"/>
      <c r="M60" s="433"/>
    </row>
    <row r="61" spans="1:13" customFormat="1" ht="15" customHeight="1">
      <c r="A61" s="20">
        <v>2</v>
      </c>
      <c r="B61" s="20">
        <v>82.62</v>
      </c>
      <c r="C61" s="20">
        <v>78.42</v>
      </c>
      <c r="D61" s="20">
        <v>82.07</v>
      </c>
      <c r="E61" s="20">
        <v>77.47</v>
      </c>
      <c r="F61" s="20">
        <v>81.290000000000006</v>
      </c>
      <c r="G61" s="20">
        <v>76.12</v>
      </c>
      <c r="H61" s="433"/>
      <c r="I61" s="433"/>
      <c r="J61" s="433"/>
      <c r="K61" s="433"/>
      <c r="L61" s="433"/>
      <c r="M61" s="433"/>
    </row>
    <row r="62" spans="1:13" customFormat="1" ht="15" customHeight="1">
      <c r="A62" s="20">
        <v>3</v>
      </c>
      <c r="B62" s="20">
        <v>81.63</v>
      </c>
      <c r="C62" s="20">
        <v>77.44</v>
      </c>
      <c r="D62" s="20">
        <v>81.08</v>
      </c>
      <c r="E62" s="20">
        <v>76.489999999999995</v>
      </c>
      <c r="F62" s="20">
        <v>80.3</v>
      </c>
      <c r="G62" s="20">
        <v>75.14</v>
      </c>
      <c r="H62" s="433"/>
      <c r="I62" s="433"/>
      <c r="J62" s="433"/>
      <c r="K62" s="433"/>
      <c r="L62" s="433"/>
      <c r="M62" s="433"/>
    </row>
    <row r="63" spans="1:13" customFormat="1" ht="15" customHeight="1">
      <c r="A63" s="20">
        <v>4</v>
      </c>
      <c r="B63" s="20">
        <v>80.64</v>
      </c>
      <c r="C63" s="20">
        <v>76.45</v>
      </c>
      <c r="D63" s="20">
        <v>80.099999999999994</v>
      </c>
      <c r="E63" s="20">
        <v>75.5</v>
      </c>
      <c r="F63" s="20">
        <v>79.319999999999993</v>
      </c>
      <c r="G63" s="20">
        <v>74.16</v>
      </c>
      <c r="H63" s="433"/>
      <c r="I63" s="433"/>
      <c r="J63" s="433"/>
      <c r="K63" s="433"/>
      <c r="L63" s="433"/>
      <c r="M63" s="433"/>
    </row>
    <row r="64" spans="1:13" customFormat="1" ht="15" customHeight="1">
      <c r="A64" s="20">
        <v>5</v>
      </c>
      <c r="B64" s="20">
        <v>79.650000000000006</v>
      </c>
      <c r="C64" s="20">
        <v>75.459999999999994</v>
      </c>
      <c r="D64" s="20">
        <v>79.11</v>
      </c>
      <c r="E64" s="20">
        <v>74.510000000000005</v>
      </c>
      <c r="F64" s="20">
        <v>78.33</v>
      </c>
      <c r="G64" s="20">
        <v>73.17</v>
      </c>
      <c r="H64" s="433"/>
      <c r="I64" s="433"/>
      <c r="J64" s="433"/>
      <c r="K64" s="433"/>
      <c r="L64" s="433"/>
      <c r="M64" s="433"/>
    </row>
    <row r="65" spans="1:13" customFormat="1" ht="15" customHeight="1">
      <c r="A65" s="20">
        <v>6</v>
      </c>
      <c r="B65" s="20">
        <v>78.66</v>
      </c>
      <c r="C65" s="20">
        <v>74.459999999999994</v>
      </c>
      <c r="D65" s="20">
        <v>78.11</v>
      </c>
      <c r="E65" s="20">
        <v>73.52</v>
      </c>
      <c r="F65" s="20">
        <v>77.34</v>
      </c>
      <c r="G65" s="20">
        <v>72.180000000000007</v>
      </c>
      <c r="H65" s="433"/>
      <c r="I65" s="433"/>
      <c r="J65" s="433"/>
      <c r="K65" s="433"/>
      <c r="L65" s="433"/>
      <c r="M65" s="433"/>
    </row>
    <row r="66" spans="1:13" customFormat="1" ht="15" customHeight="1">
      <c r="A66" s="20">
        <v>7</v>
      </c>
      <c r="B66" s="20">
        <v>77.66</v>
      </c>
      <c r="C66" s="20">
        <v>73.47</v>
      </c>
      <c r="D66" s="20">
        <v>77.12</v>
      </c>
      <c r="E66" s="20">
        <v>72.53</v>
      </c>
      <c r="F66" s="20">
        <v>76.349999999999994</v>
      </c>
      <c r="G66" s="20">
        <v>71.2</v>
      </c>
      <c r="H66" s="433"/>
      <c r="I66" s="433"/>
      <c r="J66" s="433"/>
      <c r="K66" s="433"/>
      <c r="L66" s="433"/>
      <c r="M66" s="433"/>
    </row>
    <row r="67" spans="1:13" customFormat="1" ht="15" customHeight="1">
      <c r="A67" s="20">
        <v>8</v>
      </c>
      <c r="B67" s="20">
        <v>76.67</v>
      </c>
      <c r="C67" s="20">
        <v>72.48</v>
      </c>
      <c r="D67" s="20">
        <v>76.13</v>
      </c>
      <c r="E67" s="20">
        <v>71.540000000000006</v>
      </c>
      <c r="F67" s="20">
        <v>75.349999999999994</v>
      </c>
      <c r="G67" s="20">
        <v>70.209999999999994</v>
      </c>
      <c r="H67" s="433"/>
      <c r="I67" s="433"/>
      <c r="J67" s="433"/>
      <c r="K67" s="433"/>
      <c r="L67" s="433"/>
      <c r="M67" s="433"/>
    </row>
    <row r="68" spans="1:13" customFormat="1" ht="15" customHeight="1">
      <c r="A68" s="20">
        <v>9</v>
      </c>
      <c r="B68" s="20">
        <v>75.680000000000007</v>
      </c>
      <c r="C68" s="20">
        <v>71.489999999999995</v>
      </c>
      <c r="D68" s="20">
        <v>75.14</v>
      </c>
      <c r="E68" s="20">
        <v>70.55</v>
      </c>
      <c r="F68" s="20">
        <v>74.36</v>
      </c>
      <c r="G68" s="20">
        <v>69.209999999999994</v>
      </c>
      <c r="H68" s="433"/>
      <c r="I68" s="433"/>
      <c r="J68" s="433"/>
      <c r="K68" s="433"/>
      <c r="L68" s="433"/>
      <c r="M68" s="433"/>
    </row>
    <row r="69" spans="1:13" customFormat="1" ht="15" customHeight="1">
      <c r="A69" s="20">
        <v>10</v>
      </c>
      <c r="B69" s="20">
        <v>74.680000000000007</v>
      </c>
      <c r="C69" s="20">
        <v>70.489999999999995</v>
      </c>
      <c r="D69" s="20">
        <v>74.14</v>
      </c>
      <c r="E69" s="20">
        <v>69.55</v>
      </c>
      <c r="F69" s="20">
        <v>73.37</v>
      </c>
      <c r="G69" s="20">
        <v>68.22</v>
      </c>
      <c r="H69" s="433"/>
      <c r="I69" s="433"/>
      <c r="J69" s="433"/>
      <c r="K69" s="433"/>
      <c r="L69" s="433"/>
      <c r="M69" s="433"/>
    </row>
    <row r="70" spans="1:13" customFormat="1" ht="15" customHeight="1">
      <c r="A70" s="20">
        <v>11</v>
      </c>
      <c r="B70" s="20">
        <v>73.69</v>
      </c>
      <c r="C70" s="20">
        <v>69.5</v>
      </c>
      <c r="D70" s="20">
        <v>73.150000000000006</v>
      </c>
      <c r="E70" s="20">
        <v>68.56</v>
      </c>
      <c r="F70" s="20">
        <v>72.37</v>
      </c>
      <c r="G70" s="20">
        <v>67.23</v>
      </c>
      <c r="H70" s="433"/>
      <c r="I70" s="433"/>
      <c r="J70" s="433"/>
      <c r="K70" s="433"/>
      <c r="L70" s="433"/>
      <c r="M70" s="433"/>
    </row>
    <row r="71" spans="1:13" customFormat="1" ht="15" customHeight="1">
      <c r="A71" s="20">
        <v>12</v>
      </c>
      <c r="B71" s="20">
        <v>72.69</v>
      </c>
      <c r="C71" s="20">
        <v>68.510000000000005</v>
      </c>
      <c r="D71" s="20">
        <v>72.150000000000006</v>
      </c>
      <c r="E71" s="20">
        <v>67.569999999999993</v>
      </c>
      <c r="F71" s="20">
        <v>71.38</v>
      </c>
      <c r="G71" s="20">
        <v>66.239999999999995</v>
      </c>
      <c r="H71" s="433"/>
      <c r="I71" s="433"/>
      <c r="J71" s="433"/>
      <c r="K71" s="433"/>
      <c r="L71" s="433"/>
      <c r="M71" s="433"/>
    </row>
    <row r="72" spans="1:13" customFormat="1" ht="15" customHeight="1">
      <c r="A72" s="20">
        <v>13</v>
      </c>
      <c r="B72" s="20">
        <v>71.7</v>
      </c>
      <c r="C72" s="20">
        <v>67.510000000000005</v>
      </c>
      <c r="D72" s="20">
        <v>71.16</v>
      </c>
      <c r="E72" s="20">
        <v>66.58</v>
      </c>
      <c r="F72" s="20">
        <v>70.39</v>
      </c>
      <c r="G72" s="20">
        <v>65.25</v>
      </c>
      <c r="H72" s="433"/>
      <c r="I72" s="433"/>
      <c r="J72" s="433"/>
      <c r="K72" s="433"/>
      <c r="L72" s="433"/>
      <c r="M72" s="433"/>
    </row>
    <row r="73" spans="1:13" customFormat="1" ht="15" customHeight="1">
      <c r="A73" s="20">
        <v>14</v>
      </c>
      <c r="B73" s="20">
        <v>70.7</v>
      </c>
      <c r="C73" s="20">
        <v>66.52</v>
      </c>
      <c r="D73" s="20">
        <v>70.16</v>
      </c>
      <c r="E73" s="20">
        <v>65.58</v>
      </c>
      <c r="F73" s="20">
        <v>69.39</v>
      </c>
      <c r="G73" s="20">
        <v>64.260000000000005</v>
      </c>
      <c r="H73" s="433"/>
      <c r="I73" s="433"/>
      <c r="J73" s="433"/>
      <c r="K73" s="433"/>
      <c r="L73" s="433"/>
      <c r="M73" s="433"/>
    </row>
    <row r="74" spans="1:13" customFormat="1" ht="15" customHeight="1">
      <c r="A74" s="20">
        <v>15</v>
      </c>
      <c r="B74" s="20">
        <v>69.709999999999994</v>
      </c>
      <c r="C74" s="20">
        <v>65.53</v>
      </c>
      <c r="D74" s="20">
        <v>69.17</v>
      </c>
      <c r="E74" s="20">
        <v>64.59</v>
      </c>
      <c r="F74" s="20">
        <v>68.41</v>
      </c>
      <c r="G74" s="20">
        <v>63.28</v>
      </c>
      <c r="H74" s="433"/>
      <c r="I74" s="433"/>
      <c r="J74" s="433"/>
      <c r="K74" s="433"/>
      <c r="L74" s="433"/>
      <c r="M74" s="433"/>
    </row>
    <row r="75" spans="1:13" customFormat="1" ht="15" customHeight="1">
      <c r="A75" s="20">
        <v>16</v>
      </c>
      <c r="B75" s="20">
        <v>68.72</v>
      </c>
      <c r="C75" s="20">
        <v>64.55</v>
      </c>
      <c r="D75" s="20">
        <v>68.19</v>
      </c>
      <c r="E75" s="20">
        <v>63.61</v>
      </c>
      <c r="F75" s="20">
        <v>67.42</v>
      </c>
      <c r="G75" s="20">
        <v>62.3</v>
      </c>
      <c r="H75" s="433"/>
      <c r="I75" s="433"/>
      <c r="J75" s="433"/>
      <c r="K75" s="433"/>
      <c r="L75" s="433"/>
      <c r="M75" s="433"/>
    </row>
    <row r="76" spans="1:13" customFormat="1" ht="15" customHeight="1">
      <c r="A76" s="20">
        <v>17</v>
      </c>
      <c r="B76" s="20">
        <v>67.739999999999995</v>
      </c>
      <c r="C76" s="20">
        <v>63.56</v>
      </c>
      <c r="D76" s="20">
        <v>67.2</v>
      </c>
      <c r="E76" s="20">
        <v>62.63</v>
      </c>
      <c r="F76" s="20">
        <v>66.44</v>
      </c>
      <c r="G76" s="20">
        <v>61.33</v>
      </c>
      <c r="H76" s="433"/>
      <c r="I76" s="433"/>
      <c r="J76" s="433"/>
      <c r="K76" s="433"/>
      <c r="L76" s="433"/>
      <c r="M76" s="433"/>
    </row>
    <row r="77" spans="1:13" customFormat="1" ht="15" customHeight="1">
      <c r="A77" s="20">
        <v>18</v>
      </c>
      <c r="B77" s="20">
        <v>66.760000000000005</v>
      </c>
      <c r="C77" s="20">
        <v>62.59</v>
      </c>
      <c r="D77" s="20">
        <v>66.22</v>
      </c>
      <c r="E77" s="20">
        <v>61.66</v>
      </c>
      <c r="F77" s="20">
        <v>65.45</v>
      </c>
      <c r="G77" s="20">
        <v>60.37</v>
      </c>
      <c r="H77" s="433"/>
      <c r="I77" s="433"/>
      <c r="J77" s="433"/>
      <c r="K77" s="433"/>
      <c r="L77" s="433"/>
      <c r="M77" s="433"/>
    </row>
    <row r="78" spans="1:13" customFormat="1" ht="15" customHeight="1">
      <c r="A78" s="20">
        <v>19</v>
      </c>
      <c r="B78" s="20">
        <v>65.77</v>
      </c>
      <c r="C78" s="20">
        <v>61.63</v>
      </c>
      <c r="D78" s="20">
        <v>65.239999999999995</v>
      </c>
      <c r="E78" s="20">
        <v>60.71</v>
      </c>
      <c r="F78" s="20">
        <v>64.48</v>
      </c>
      <c r="G78" s="20">
        <v>59.43</v>
      </c>
      <c r="H78" s="433"/>
      <c r="I78" s="433"/>
      <c r="J78" s="433"/>
      <c r="K78" s="433"/>
      <c r="L78" s="433"/>
      <c r="M78" s="433"/>
    </row>
    <row r="79" spans="1:13" customFormat="1" ht="15" customHeight="1">
      <c r="A79" s="20">
        <v>20</v>
      </c>
      <c r="B79" s="20">
        <v>64.790000000000006</v>
      </c>
      <c r="C79" s="20">
        <v>60.67</v>
      </c>
      <c r="D79" s="20">
        <v>64.25</v>
      </c>
      <c r="E79" s="20">
        <v>59.75</v>
      </c>
      <c r="F79" s="20">
        <v>63.5</v>
      </c>
      <c r="G79" s="20">
        <v>58.48</v>
      </c>
      <c r="H79" s="433"/>
      <c r="I79" s="433"/>
      <c r="J79" s="433"/>
      <c r="K79" s="433"/>
      <c r="L79" s="433"/>
      <c r="M79" s="433"/>
    </row>
    <row r="80" spans="1:13" customFormat="1" ht="15" customHeight="1">
      <c r="A80" s="20">
        <v>21</v>
      </c>
      <c r="B80" s="20">
        <v>63.81</v>
      </c>
      <c r="C80" s="20">
        <v>59.7</v>
      </c>
      <c r="D80" s="20">
        <v>63.27</v>
      </c>
      <c r="E80" s="20">
        <v>58.8</v>
      </c>
      <c r="F80" s="20">
        <v>62.52</v>
      </c>
      <c r="G80" s="20">
        <v>57.54</v>
      </c>
      <c r="H80" s="433"/>
      <c r="I80" s="433"/>
      <c r="J80" s="433"/>
      <c r="K80" s="433"/>
      <c r="L80" s="433"/>
      <c r="M80" s="433"/>
    </row>
    <row r="81" spans="1:13" customFormat="1" ht="15" customHeight="1">
      <c r="A81" s="20">
        <v>22</v>
      </c>
      <c r="B81" s="20">
        <v>62.82</v>
      </c>
      <c r="C81" s="20">
        <v>58.74</v>
      </c>
      <c r="D81" s="20">
        <v>62.29</v>
      </c>
      <c r="E81" s="20">
        <v>57.84</v>
      </c>
      <c r="F81" s="20">
        <v>61.54</v>
      </c>
      <c r="G81" s="20">
        <v>56.59</v>
      </c>
      <c r="H81" s="433"/>
      <c r="I81" s="433"/>
      <c r="J81" s="433"/>
      <c r="K81" s="433"/>
      <c r="L81" s="433"/>
      <c r="M81" s="433"/>
    </row>
    <row r="82" spans="1:13" customFormat="1" ht="15" customHeight="1">
      <c r="A82" s="20">
        <v>23</v>
      </c>
      <c r="B82" s="20">
        <v>61.84</v>
      </c>
      <c r="C82" s="20">
        <v>57.78</v>
      </c>
      <c r="D82" s="20">
        <v>61.31</v>
      </c>
      <c r="E82" s="20">
        <v>56.88</v>
      </c>
      <c r="F82" s="20">
        <v>60.57</v>
      </c>
      <c r="G82" s="20">
        <v>55.65</v>
      </c>
      <c r="H82" s="433"/>
      <c r="I82" s="433"/>
      <c r="J82" s="433"/>
      <c r="K82" s="433"/>
      <c r="L82" s="433"/>
      <c r="M82" s="433"/>
    </row>
    <row r="83" spans="1:13" customFormat="1" ht="15" customHeight="1">
      <c r="A83" s="20">
        <v>24</v>
      </c>
      <c r="B83" s="20">
        <v>60.86</v>
      </c>
      <c r="C83" s="20">
        <v>56.81</v>
      </c>
      <c r="D83" s="20">
        <v>60.32</v>
      </c>
      <c r="E83" s="20">
        <v>55.93</v>
      </c>
      <c r="F83" s="20">
        <v>59.59</v>
      </c>
      <c r="G83" s="20">
        <v>54.71</v>
      </c>
      <c r="H83" s="433"/>
      <c r="I83" s="433"/>
      <c r="J83" s="433"/>
      <c r="K83" s="433"/>
      <c r="L83" s="433"/>
      <c r="M83" s="433"/>
    </row>
    <row r="84" spans="1:13" customFormat="1" ht="15" customHeight="1">
      <c r="A84" s="20">
        <v>25</v>
      </c>
      <c r="B84" s="20">
        <v>59.87</v>
      </c>
      <c r="C84" s="20">
        <v>55.85</v>
      </c>
      <c r="D84" s="20">
        <v>59.34</v>
      </c>
      <c r="E84" s="20">
        <v>54.97</v>
      </c>
      <c r="F84" s="20">
        <v>58.61</v>
      </c>
      <c r="G84" s="20">
        <v>53.77</v>
      </c>
      <c r="H84" s="433"/>
      <c r="I84" s="433"/>
      <c r="J84" s="433"/>
      <c r="K84" s="433"/>
      <c r="L84" s="433"/>
      <c r="M84" s="433"/>
    </row>
    <row r="85" spans="1:13" customFormat="1" ht="15" customHeight="1">
      <c r="A85" s="20">
        <v>26</v>
      </c>
      <c r="B85" s="20">
        <v>58.89</v>
      </c>
      <c r="C85" s="20">
        <v>54.89</v>
      </c>
      <c r="D85" s="20">
        <v>58.36</v>
      </c>
      <c r="E85" s="20">
        <v>54.02</v>
      </c>
      <c r="F85" s="20">
        <v>57.63</v>
      </c>
      <c r="G85" s="20">
        <v>52.83</v>
      </c>
      <c r="H85" s="433"/>
      <c r="I85" s="433"/>
      <c r="J85" s="433"/>
      <c r="K85" s="433"/>
      <c r="L85" s="433"/>
      <c r="M85" s="433"/>
    </row>
    <row r="86" spans="1:13" customFormat="1" ht="15" customHeight="1">
      <c r="A86" s="20">
        <v>27</v>
      </c>
      <c r="B86" s="20">
        <v>57.9</v>
      </c>
      <c r="C86" s="20">
        <v>53.92</v>
      </c>
      <c r="D86" s="20">
        <v>57.38</v>
      </c>
      <c r="E86" s="20">
        <v>53.06</v>
      </c>
      <c r="F86" s="20">
        <v>56.65</v>
      </c>
      <c r="G86" s="20">
        <v>51.89</v>
      </c>
      <c r="H86" s="433"/>
      <c r="I86" s="433"/>
      <c r="J86" s="433"/>
      <c r="K86" s="433"/>
      <c r="L86" s="433"/>
      <c r="M86" s="433"/>
    </row>
    <row r="87" spans="1:13" customFormat="1" ht="15" customHeight="1">
      <c r="A87" s="20">
        <v>28</v>
      </c>
      <c r="B87" s="20">
        <v>56.92</v>
      </c>
      <c r="C87" s="20">
        <v>52.96</v>
      </c>
      <c r="D87" s="20">
        <v>56.4</v>
      </c>
      <c r="E87" s="20">
        <v>52.11</v>
      </c>
      <c r="F87" s="20">
        <v>55.68</v>
      </c>
      <c r="G87" s="20">
        <v>50.95</v>
      </c>
      <c r="H87" s="433"/>
      <c r="I87" s="433"/>
      <c r="J87" s="433"/>
      <c r="K87" s="433"/>
      <c r="L87" s="433"/>
      <c r="M87" s="433"/>
    </row>
    <row r="88" spans="1:13" customFormat="1" ht="15" customHeight="1">
      <c r="A88" s="20">
        <v>29</v>
      </c>
      <c r="B88" s="20">
        <v>55.94</v>
      </c>
      <c r="C88" s="20">
        <v>52</v>
      </c>
      <c r="D88" s="20">
        <v>55.42</v>
      </c>
      <c r="E88" s="20">
        <v>51.16</v>
      </c>
      <c r="F88" s="20">
        <v>54.7</v>
      </c>
      <c r="G88" s="20">
        <v>50.01</v>
      </c>
      <c r="H88" s="433"/>
      <c r="I88" s="433"/>
      <c r="J88" s="433"/>
      <c r="K88" s="433"/>
      <c r="L88" s="433"/>
      <c r="M88" s="433"/>
    </row>
    <row r="89" spans="1:13" customFormat="1" ht="15" customHeight="1">
      <c r="A89" s="20">
        <v>30</v>
      </c>
      <c r="B89" s="20">
        <v>54.96</v>
      </c>
      <c r="C89" s="20">
        <v>51.04</v>
      </c>
      <c r="D89" s="20">
        <v>54.44</v>
      </c>
      <c r="E89" s="20">
        <v>50.2</v>
      </c>
      <c r="F89" s="20">
        <v>53.72</v>
      </c>
      <c r="G89" s="20">
        <v>49.07</v>
      </c>
      <c r="H89" s="433"/>
      <c r="I89" s="433"/>
      <c r="J89" s="433"/>
      <c r="K89" s="433"/>
      <c r="L89" s="433"/>
      <c r="M89" s="433"/>
    </row>
    <row r="90" spans="1:13" customFormat="1" ht="15" customHeight="1">
      <c r="A90" s="20">
        <v>31</v>
      </c>
      <c r="B90" s="20">
        <v>53.98</v>
      </c>
      <c r="C90" s="20">
        <v>50.08</v>
      </c>
      <c r="D90" s="20">
        <v>53.46</v>
      </c>
      <c r="E90" s="20">
        <v>49.25</v>
      </c>
      <c r="F90" s="20">
        <v>52.75</v>
      </c>
      <c r="G90" s="20">
        <v>48.13</v>
      </c>
      <c r="H90" s="433"/>
      <c r="I90" s="433"/>
      <c r="J90" s="433"/>
      <c r="K90" s="433"/>
      <c r="L90" s="433"/>
      <c r="M90" s="433"/>
    </row>
    <row r="91" spans="1:13" customFormat="1" ht="15" customHeight="1">
      <c r="A91" s="20">
        <v>32</v>
      </c>
      <c r="B91" s="20">
        <v>53</v>
      </c>
      <c r="C91" s="20">
        <v>49.13</v>
      </c>
      <c r="D91" s="20">
        <v>52.48</v>
      </c>
      <c r="E91" s="20">
        <v>48.3</v>
      </c>
      <c r="F91" s="20">
        <v>51.77</v>
      </c>
      <c r="G91" s="20">
        <v>47.19</v>
      </c>
      <c r="H91" s="433"/>
      <c r="I91" s="433"/>
      <c r="J91" s="433"/>
      <c r="K91" s="433"/>
      <c r="L91" s="433"/>
      <c r="M91" s="433"/>
    </row>
    <row r="92" spans="1:13" customFormat="1" ht="15" customHeight="1">
      <c r="A92" s="20">
        <v>33</v>
      </c>
      <c r="B92" s="20">
        <v>52.02</v>
      </c>
      <c r="C92" s="20">
        <v>48.17</v>
      </c>
      <c r="D92" s="20">
        <v>51.5</v>
      </c>
      <c r="E92" s="20">
        <v>47.35</v>
      </c>
      <c r="F92" s="20">
        <v>50.8</v>
      </c>
      <c r="G92" s="20">
        <v>46.24</v>
      </c>
      <c r="H92" s="433"/>
      <c r="I92" s="433"/>
      <c r="J92" s="433"/>
      <c r="K92" s="433"/>
      <c r="L92" s="433"/>
      <c r="M92" s="433"/>
    </row>
    <row r="93" spans="1:13" customFormat="1" ht="15" customHeight="1">
      <c r="A93" s="20">
        <v>34</v>
      </c>
      <c r="B93" s="20">
        <v>51.04</v>
      </c>
      <c r="C93" s="20">
        <v>47.22</v>
      </c>
      <c r="D93" s="20">
        <v>50.52</v>
      </c>
      <c r="E93" s="20">
        <v>46.4</v>
      </c>
      <c r="F93" s="20">
        <v>49.82</v>
      </c>
      <c r="G93" s="20">
        <v>45.3</v>
      </c>
      <c r="H93" s="433"/>
      <c r="I93" s="433"/>
      <c r="J93" s="433"/>
      <c r="K93" s="433"/>
      <c r="L93" s="433"/>
      <c r="M93" s="433"/>
    </row>
    <row r="94" spans="1:13" customFormat="1" ht="15" customHeight="1">
      <c r="A94" s="20">
        <v>35</v>
      </c>
      <c r="B94" s="20">
        <v>50.06</v>
      </c>
      <c r="C94" s="20">
        <v>46.26</v>
      </c>
      <c r="D94" s="20">
        <v>49.55</v>
      </c>
      <c r="E94" s="20">
        <v>45.45</v>
      </c>
      <c r="F94" s="20">
        <v>48.85</v>
      </c>
      <c r="G94" s="20">
        <v>44.35</v>
      </c>
      <c r="H94" s="433"/>
      <c r="I94" s="433"/>
      <c r="J94" s="433"/>
      <c r="K94" s="433"/>
      <c r="L94" s="433"/>
      <c r="M94" s="433"/>
    </row>
    <row r="95" spans="1:13" customFormat="1" ht="15" customHeight="1">
      <c r="A95" s="20">
        <v>36</v>
      </c>
      <c r="B95" s="20">
        <v>49.09</v>
      </c>
      <c r="C95" s="20">
        <v>45.31</v>
      </c>
      <c r="D95" s="20">
        <v>48.58</v>
      </c>
      <c r="E95" s="20">
        <v>44.5</v>
      </c>
      <c r="F95" s="20">
        <v>47.88</v>
      </c>
      <c r="G95" s="20">
        <v>43.41</v>
      </c>
      <c r="H95" s="433"/>
      <c r="I95" s="433"/>
      <c r="J95" s="433"/>
      <c r="K95" s="433"/>
      <c r="L95" s="433"/>
      <c r="M95" s="433"/>
    </row>
    <row r="96" spans="1:13" customFormat="1" ht="15" customHeight="1">
      <c r="A96" s="20">
        <v>37</v>
      </c>
      <c r="B96" s="20">
        <v>48.12</v>
      </c>
      <c r="C96" s="20">
        <v>44.36</v>
      </c>
      <c r="D96" s="20">
        <v>47.6</v>
      </c>
      <c r="E96" s="20">
        <v>43.55</v>
      </c>
      <c r="F96" s="20">
        <v>46.91</v>
      </c>
      <c r="G96" s="20">
        <v>42.47</v>
      </c>
      <c r="H96" s="433"/>
      <c r="I96" s="433"/>
      <c r="J96" s="433"/>
      <c r="K96" s="433"/>
      <c r="L96" s="433"/>
      <c r="M96" s="433"/>
    </row>
    <row r="97" spans="1:13" customFormat="1" ht="15" customHeight="1">
      <c r="A97" s="20">
        <v>38</v>
      </c>
      <c r="B97" s="20">
        <v>47.14</v>
      </c>
      <c r="C97" s="20">
        <v>43.41</v>
      </c>
      <c r="D97" s="20">
        <v>46.63</v>
      </c>
      <c r="E97" s="20">
        <v>42.6</v>
      </c>
      <c r="F97" s="20">
        <v>45.94</v>
      </c>
      <c r="G97" s="20">
        <v>41.53</v>
      </c>
      <c r="H97" s="433"/>
      <c r="I97" s="433"/>
      <c r="J97" s="433"/>
      <c r="K97" s="433"/>
      <c r="L97" s="433"/>
      <c r="M97" s="433"/>
    </row>
    <row r="98" spans="1:13" customFormat="1" ht="15" customHeight="1">
      <c r="A98" s="20">
        <v>39</v>
      </c>
      <c r="B98" s="20">
        <v>46.18</v>
      </c>
      <c r="C98" s="20">
        <v>42.46</v>
      </c>
      <c r="D98" s="20">
        <v>45.66</v>
      </c>
      <c r="E98" s="20">
        <v>41.66</v>
      </c>
      <c r="F98" s="20">
        <v>44.98</v>
      </c>
      <c r="G98" s="20">
        <v>40.58</v>
      </c>
      <c r="H98" s="433"/>
      <c r="I98" s="433"/>
      <c r="J98" s="433"/>
      <c r="K98" s="433"/>
      <c r="L98" s="433"/>
      <c r="M98" s="433"/>
    </row>
    <row r="99" spans="1:13" customFormat="1" ht="15" customHeight="1">
      <c r="A99" s="20">
        <v>40</v>
      </c>
      <c r="B99" s="20">
        <v>45.21</v>
      </c>
      <c r="C99" s="20">
        <v>41.51</v>
      </c>
      <c r="D99" s="20">
        <v>44.7</v>
      </c>
      <c r="E99" s="20">
        <v>40.71</v>
      </c>
      <c r="F99" s="20">
        <v>44.01</v>
      </c>
      <c r="G99" s="20">
        <v>39.65</v>
      </c>
      <c r="H99" s="433"/>
      <c r="I99" s="433"/>
      <c r="J99" s="433"/>
      <c r="K99" s="433"/>
      <c r="L99" s="433"/>
      <c r="M99" s="433"/>
    </row>
    <row r="100" spans="1:13" customFormat="1" ht="15" customHeight="1">
      <c r="A100" s="20">
        <v>41</v>
      </c>
      <c r="B100" s="20">
        <v>44.24</v>
      </c>
      <c r="C100" s="20">
        <v>40.57</v>
      </c>
      <c r="D100" s="20">
        <v>43.73</v>
      </c>
      <c r="E100" s="20">
        <v>39.770000000000003</v>
      </c>
      <c r="F100" s="20">
        <v>43.05</v>
      </c>
      <c r="G100" s="20">
        <v>38.71</v>
      </c>
      <c r="H100" s="433"/>
      <c r="I100" s="433"/>
      <c r="J100" s="433"/>
      <c r="K100" s="433"/>
      <c r="L100" s="433"/>
      <c r="M100" s="433"/>
    </row>
    <row r="101" spans="1:13" customFormat="1" ht="15" customHeight="1">
      <c r="A101" s="20">
        <v>42</v>
      </c>
      <c r="B101" s="20">
        <v>43.28</v>
      </c>
      <c r="C101" s="20">
        <v>39.619999999999997</v>
      </c>
      <c r="D101" s="20">
        <v>42.77</v>
      </c>
      <c r="E101" s="20">
        <v>38.83</v>
      </c>
      <c r="F101" s="20">
        <v>42.09</v>
      </c>
      <c r="G101" s="20">
        <v>37.770000000000003</v>
      </c>
      <c r="H101" s="433"/>
      <c r="I101" s="433"/>
      <c r="J101" s="433"/>
      <c r="K101" s="433"/>
      <c r="L101" s="433"/>
      <c r="M101" s="433"/>
    </row>
    <row r="102" spans="1:13" customFormat="1" ht="15" customHeight="1">
      <c r="A102" s="20">
        <v>43</v>
      </c>
      <c r="B102" s="20">
        <v>42.32</v>
      </c>
      <c r="C102" s="20">
        <v>38.68</v>
      </c>
      <c r="D102" s="20">
        <v>41.81</v>
      </c>
      <c r="E102" s="20">
        <v>37.89</v>
      </c>
      <c r="F102" s="20">
        <v>41.14</v>
      </c>
      <c r="G102" s="20">
        <v>36.840000000000003</v>
      </c>
      <c r="H102" s="433"/>
      <c r="I102" s="433"/>
      <c r="J102" s="433"/>
      <c r="K102" s="433"/>
      <c r="L102" s="433"/>
      <c r="M102" s="433"/>
    </row>
    <row r="103" spans="1:13" customFormat="1" ht="15" customHeight="1">
      <c r="A103" s="20">
        <v>44</v>
      </c>
      <c r="B103" s="20">
        <v>41.36</v>
      </c>
      <c r="C103" s="20">
        <v>37.75</v>
      </c>
      <c r="D103" s="20">
        <v>40.85</v>
      </c>
      <c r="E103" s="20">
        <v>36.96</v>
      </c>
      <c r="F103" s="20">
        <v>40.18</v>
      </c>
      <c r="G103" s="20">
        <v>35.909999999999997</v>
      </c>
      <c r="H103" s="433"/>
      <c r="I103" s="433"/>
      <c r="J103" s="433"/>
      <c r="K103" s="433"/>
      <c r="L103" s="433"/>
      <c r="M103" s="433"/>
    </row>
    <row r="104" spans="1:13" customFormat="1" ht="15" customHeight="1">
      <c r="A104" s="20">
        <v>45</v>
      </c>
      <c r="B104" s="20">
        <v>40.409999999999997</v>
      </c>
      <c r="C104" s="20">
        <v>36.81</v>
      </c>
      <c r="D104" s="20">
        <v>39.9</v>
      </c>
      <c r="E104" s="20">
        <v>36.03</v>
      </c>
      <c r="F104" s="20">
        <v>39.229999999999997</v>
      </c>
      <c r="G104" s="20">
        <v>34.979999999999997</v>
      </c>
      <c r="H104" s="433"/>
      <c r="I104" s="433"/>
      <c r="J104" s="433"/>
      <c r="K104" s="433"/>
      <c r="L104" s="433"/>
      <c r="M104" s="433"/>
    </row>
    <row r="105" spans="1:13" customFormat="1" ht="15" customHeight="1">
      <c r="A105" s="20">
        <v>46</v>
      </c>
      <c r="B105" s="20">
        <v>39.450000000000003</v>
      </c>
      <c r="C105" s="20">
        <v>35.880000000000003</v>
      </c>
      <c r="D105" s="20">
        <v>38.950000000000003</v>
      </c>
      <c r="E105" s="20">
        <v>35.1</v>
      </c>
      <c r="F105" s="20">
        <v>38.28</v>
      </c>
      <c r="G105" s="20">
        <v>34.06</v>
      </c>
      <c r="H105" s="433"/>
      <c r="I105" s="433"/>
      <c r="J105" s="433"/>
      <c r="K105" s="433"/>
      <c r="L105" s="433"/>
      <c r="M105" s="433"/>
    </row>
    <row r="106" spans="1:13" customFormat="1" ht="15" customHeight="1">
      <c r="A106" s="20">
        <v>47</v>
      </c>
      <c r="B106" s="20">
        <v>38.5</v>
      </c>
      <c r="C106" s="20">
        <v>34.950000000000003</v>
      </c>
      <c r="D106" s="20">
        <v>38</v>
      </c>
      <c r="E106" s="20">
        <v>34.18</v>
      </c>
      <c r="F106" s="20">
        <v>37.33</v>
      </c>
      <c r="G106" s="20">
        <v>33.130000000000003</v>
      </c>
      <c r="H106" s="433"/>
      <c r="I106" s="433"/>
      <c r="J106" s="433"/>
      <c r="K106" s="433"/>
      <c r="L106" s="433"/>
      <c r="M106" s="433"/>
    </row>
    <row r="107" spans="1:13" customFormat="1" ht="15" customHeight="1">
      <c r="A107" s="20">
        <v>48</v>
      </c>
      <c r="B107" s="20">
        <v>37.56</v>
      </c>
      <c r="C107" s="20">
        <v>34.03</v>
      </c>
      <c r="D107" s="20">
        <v>37.049999999999997</v>
      </c>
      <c r="E107" s="20">
        <v>33.26</v>
      </c>
      <c r="F107" s="20">
        <v>36.39</v>
      </c>
      <c r="G107" s="20">
        <v>32.22</v>
      </c>
      <c r="H107" s="433"/>
      <c r="I107" s="433"/>
      <c r="J107" s="433"/>
      <c r="K107" s="433"/>
      <c r="L107" s="433"/>
      <c r="M107" s="433"/>
    </row>
    <row r="108" spans="1:13" customFormat="1" ht="15" customHeight="1">
      <c r="A108" s="20">
        <v>49</v>
      </c>
      <c r="B108" s="20">
        <v>36.61</v>
      </c>
      <c r="C108" s="20">
        <v>33.11</v>
      </c>
      <c r="D108" s="20">
        <v>36.11</v>
      </c>
      <c r="E108" s="20">
        <v>32.340000000000003</v>
      </c>
      <c r="F108" s="20">
        <v>35.450000000000003</v>
      </c>
      <c r="G108" s="20">
        <v>31.3</v>
      </c>
      <c r="H108" s="433"/>
      <c r="I108" s="433"/>
      <c r="J108" s="433"/>
      <c r="K108" s="433"/>
      <c r="L108" s="433"/>
      <c r="M108" s="433"/>
    </row>
    <row r="109" spans="1:13" customFormat="1" ht="15" customHeight="1">
      <c r="A109" s="20">
        <v>50</v>
      </c>
      <c r="B109" s="20">
        <v>35.67</v>
      </c>
      <c r="C109" s="20">
        <v>32.200000000000003</v>
      </c>
      <c r="D109" s="20">
        <v>35.17</v>
      </c>
      <c r="E109" s="20">
        <v>31.43</v>
      </c>
      <c r="F109" s="20">
        <v>34.51</v>
      </c>
      <c r="G109" s="20">
        <v>30.39</v>
      </c>
      <c r="H109" s="433"/>
      <c r="I109" s="433"/>
      <c r="J109" s="433"/>
      <c r="K109" s="433"/>
      <c r="L109" s="433"/>
      <c r="M109" s="433"/>
    </row>
    <row r="110" spans="1:13" customFormat="1" ht="15" customHeight="1">
      <c r="A110" s="20">
        <v>51</v>
      </c>
      <c r="B110" s="20">
        <v>34.74</v>
      </c>
      <c r="C110" s="20">
        <v>31.29</v>
      </c>
      <c r="D110" s="20">
        <v>34.24</v>
      </c>
      <c r="E110" s="20">
        <v>30.53</v>
      </c>
      <c r="F110" s="20">
        <v>33.58</v>
      </c>
      <c r="G110" s="20">
        <v>29.49</v>
      </c>
      <c r="H110" s="433"/>
      <c r="I110" s="433"/>
      <c r="J110" s="433"/>
      <c r="K110" s="433"/>
      <c r="L110" s="433"/>
      <c r="M110" s="433"/>
    </row>
    <row r="111" spans="1:13" customFormat="1" ht="15" customHeight="1">
      <c r="A111" s="20">
        <v>52</v>
      </c>
      <c r="B111" s="20">
        <v>33.799999999999997</v>
      </c>
      <c r="C111" s="20">
        <v>30.38</v>
      </c>
      <c r="D111" s="20">
        <v>33.31</v>
      </c>
      <c r="E111" s="20">
        <v>29.63</v>
      </c>
      <c r="F111" s="20">
        <v>32.659999999999997</v>
      </c>
      <c r="G111" s="20">
        <v>28.59</v>
      </c>
      <c r="H111" s="433"/>
      <c r="I111" s="433"/>
      <c r="J111" s="433"/>
      <c r="K111" s="433"/>
      <c r="L111" s="433"/>
      <c r="M111" s="433"/>
    </row>
    <row r="112" spans="1:13" customFormat="1" ht="15" customHeight="1">
      <c r="A112" s="20">
        <v>53</v>
      </c>
      <c r="B112" s="20">
        <v>32.869999999999997</v>
      </c>
      <c r="C112" s="20">
        <v>29.49</v>
      </c>
      <c r="D112" s="20">
        <v>32.380000000000003</v>
      </c>
      <c r="E112" s="20">
        <v>28.73</v>
      </c>
      <c r="F112" s="20">
        <v>31.73</v>
      </c>
      <c r="G112" s="20">
        <v>27.69</v>
      </c>
      <c r="H112" s="433"/>
      <c r="I112" s="433"/>
      <c r="J112" s="433"/>
      <c r="K112" s="433"/>
      <c r="L112" s="433"/>
      <c r="M112" s="433"/>
    </row>
    <row r="113" spans="1:13" customFormat="1" ht="15" customHeight="1">
      <c r="A113" s="20">
        <v>54</v>
      </c>
      <c r="B113" s="20">
        <v>31.95</v>
      </c>
      <c r="C113" s="20">
        <v>28.59</v>
      </c>
      <c r="D113" s="20">
        <v>31.45</v>
      </c>
      <c r="E113" s="20">
        <v>27.84</v>
      </c>
      <c r="F113" s="20">
        <v>30.82</v>
      </c>
      <c r="G113" s="20">
        <v>26.8</v>
      </c>
      <c r="H113" s="433"/>
      <c r="I113" s="433"/>
      <c r="J113" s="433"/>
      <c r="K113" s="433"/>
      <c r="L113" s="433"/>
      <c r="M113" s="433"/>
    </row>
    <row r="114" spans="1:13" customFormat="1" ht="15" customHeight="1">
      <c r="A114" s="20">
        <v>55</v>
      </c>
      <c r="B114" s="20">
        <v>31.02</v>
      </c>
      <c r="C114" s="20">
        <v>27.71</v>
      </c>
      <c r="D114" s="20">
        <v>30.53</v>
      </c>
      <c r="E114" s="20">
        <v>26.95</v>
      </c>
      <c r="F114" s="20">
        <v>29.91</v>
      </c>
      <c r="G114" s="20">
        <v>25.92</v>
      </c>
      <c r="H114" s="433"/>
      <c r="I114" s="433"/>
      <c r="J114" s="433"/>
      <c r="K114" s="433"/>
      <c r="L114" s="433"/>
      <c r="M114" s="433"/>
    </row>
    <row r="115" spans="1:13" customFormat="1" ht="15" customHeight="1">
      <c r="A115" s="20">
        <v>56</v>
      </c>
      <c r="B115" s="20">
        <v>30.1</v>
      </c>
      <c r="C115" s="20">
        <v>26.83</v>
      </c>
      <c r="D115" s="20">
        <v>29.61</v>
      </c>
      <c r="E115" s="20">
        <v>26.08</v>
      </c>
      <c r="F115" s="20">
        <v>29</v>
      </c>
      <c r="G115" s="20">
        <v>25.05</v>
      </c>
      <c r="H115" s="433"/>
      <c r="I115" s="433"/>
      <c r="J115" s="433"/>
      <c r="K115" s="433"/>
      <c r="L115" s="433"/>
      <c r="M115" s="433"/>
    </row>
    <row r="116" spans="1:13" customFormat="1" ht="15" customHeight="1">
      <c r="A116" s="20">
        <v>57</v>
      </c>
      <c r="B116" s="20">
        <v>29.19</v>
      </c>
      <c r="C116" s="20">
        <v>25.95</v>
      </c>
      <c r="D116" s="20">
        <v>28.7</v>
      </c>
      <c r="E116" s="20">
        <v>25.2</v>
      </c>
      <c r="F116" s="20">
        <v>28.1</v>
      </c>
      <c r="G116" s="20">
        <v>24.19</v>
      </c>
      <c r="H116" s="433"/>
      <c r="I116" s="433"/>
      <c r="J116" s="433"/>
      <c r="K116" s="433"/>
      <c r="L116" s="433"/>
      <c r="M116" s="433"/>
    </row>
    <row r="117" spans="1:13" customFormat="1" ht="15" customHeight="1">
      <c r="A117" s="20">
        <v>58</v>
      </c>
      <c r="B117" s="20">
        <v>28.28</v>
      </c>
      <c r="C117" s="20">
        <v>25.09</v>
      </c>
      <c r="D117" s="20">
        <v>27.79</v>
      </c>
      <c r="E117" s="20">
        <v>24.34</v>
      </c>
      <c r="F117" s="20">
        <v>27.21</v>
      </c>
      <c r="G117" s="20">
        <v>23.34</v>
      </c>
      <c r="H117" s="433"/>
      <c r="I117" s="433"/>
      <c r="J117" s="433"/>
      <c r="K117" s="433"/>
      <c r="L117" s="433"/>
      <c r="M117" s="433"/>
    </row>
    <row r="118" spans="1:13" customFormat="1" ht="15" customHeight="1">
      <c r="A118" s="20">
        <v>59</v>
      </c>
      <c r="B118" s="20">
        <v>27.37</v>
      </c>
      <c r="C118" s="20">
        <v>24.22</v>
      </c>
      <c r="D118" s="20">
        <v>26.89</v>
      </c>
      <c r="E118" s="20">
        <v>23.48</v>
      </c>
      <c r="F118" s="20">
        <v>26.32</v>
      </c>
      <c r="G118" s="20">
        <v>22.49</v>
      </c>
      <c r="H118" s="433"/>
      <c r="I118" s="433"/>
      <c r="J118" s="433"/>
      <c r="K118" s="433"/>
      <c r="L118" s="433"/>
      <c r="M118" s="433"/>
    </row>
    <row r="119" spans="1:13" customFormat="1" ht="15" customHeight="1">
      <c r="A119" s="20">
        <v>60</v>
      </c>
      <c r="B119" s="20">
        <v>26.47</v>
      </c>
      <c r="C119" s="20">
        <v>23.37</v>
      </c>
      <c r="D119" s="20">
        <v>26</v>
      </c>
      <c r="E119" s="20">
        <v>22.63</v>
      </c>
      <c r="F119" s="20">
        <v>25.44</v>
      </c>
      <c r="G119" s="20">
        <v>21.66</v>
      </c>
      <c r="H119" s="433"/>
      <c r="I119" s="433"/>
      <c r="J119" s="433"/>
      <c r="K119" s="433"/>
      <c r="L119" s="433"/>
      <c r="M119" s="433"/>
    </row>
    <row r="120" spans="1:13" customFormat="1" ht="15" customHeight="1">
      <c r="A120" s="20">
        <v>61</v>
      </c>
      <c r="B120" s="20">
        <v>25.57</v>
      </c>
      <c r="C120" s="20">
        <v>22.52</v>
      </c>
      <c r="D120" s="20">
        <v>25.11</v>
      </c>
      <c r="E120" s="20">
        <v>21.79</v>
      </c>
      <c r="F120" s="20">
        <v>24.57</v>
      </c>
      <c r="G120" s="20">
        <v>20.84</v>
      </c>
      <c r="H120" s="433"/>
      <c r="I120" s="433"/>
      <c r="J120" s="433"/>
      <c r="K120" s="433"/>
      <c r="L120" s="433"/>
      <c r="M120" s="433"/>
    </row>
    <row r="121" spans="1:13" customFormat="1" ht="15" customHeight="1">
      <c r="A121" s="20">
        <v>62</v>
      </c>
      <c r="B121" s="20">
        <v>24.68</v>
      </c>
      <c r="C121" s="20">
        <v>21.68</v>
      </c>
      <c r="D121" s="20">
        <v>24.23</v>
      </c>
      <c r="E121" s="20">
        <v>20.96</v>
      </c>
      <c r="F121" s="20">
        <v>23.71</v>
      </c>
      <c r="G121" s="20">
        <v>20.04</v>
      </c>
      <c r="H121" s="433"/>
      <c r="I121" s="433"/>
      <c r="J121" s="433"/>
      <c r="K121" s="433"/>
      <c r="L121" s="433"/>
      <c r="M121" s="433"/>
    </row>
    <row r="122" spans="1:13" customFormat="1" ht="15" customHeight="1">
      <c r="A122" s="20">
        <v>63</v>
      </c>
      <c r="B122" s="20">
        <v>23.8</v>
      </c>
      <c r="C122" s="20">
        <v>20.85</v>
      </c>
      <c r="D122" s="20">
        <v>23.35</v>
      </c>
      <c r="E122" s="20">
        <v>20.14</v>
      </c>
      <c r="F122" s="20">
        <v>22.85</v>
      </c>
      <c r="G122" s="20">
        <v>19.239999999999998</v>
      </c>
      <c r="H122" s="433"/>
      <c r="I122" s="433"/>
      <c r="J122" s="433"/>
      <c r="K122" s="433"/>
      <c r="L122" s="433"/>
      <c r="M122" s="433"/>
    </row>
    <row r="123" spans="1:13" customFormat="1" ht="15" customHeight="1">
      <c r="A123" s="20">
        <v>64</v>
      </c>
      <c r="B123" s="20">
        <v>22.92</v>
      </c>
      <c r="C123" s="20">
        <v>20.03</v>
      </c>
      <c r="D123" s="20">
        <v>22.48</v>
      </c>
      <c r="E123" s="20">
        <v>19.34</v>
      </c>
      <c r="F123" s="20">
        <v>22</v>
      </c>
      <c r="G123" s="20">
        <v>18.46</v>
      </c>
      <c r="H123" s="433"/>
      <c r="I123" s="433"/>
      <c r="J123" s="433"/>
      <c r="K123" s="433"/>
      <c r="L123" s="433"/>
      <c r="M123" s="433"/>
    </row>
    <row r="124" spans="1:13" customFormat="1" ht="15" customHeight="1">
      <c r="A124" s="20">
        <v>65</v>
      </c>
      <c r="B124" s="20">
        <v>22.05</v>
      </c>
      <c r="C124" s="20">
        <v>19.22</v>
      </c>
      <c r="D124" s="20">
        <v>21.62</v>
      </c>
      <c r="E124" s="20">
        <v>18.54</v>
      </c>
      <c r="F124" s="20">
        <v>21.15</v>
      </c>
      <c r="G124" s="20">
        <v>17.7</v>
      </c>
      <c r="H124" s="433"/>
      <c r="I124" s="433"/>
      <c r="J124" s="433"/>
      <c r="K124" s="433"/>
      <c r="L124" s="433"/>
      <c r="M124" s="433"/>
    </row>
    <row r="125" spans="1:13" customFormat="1" ht="15" customHeight="1">
      <c r="A125" s="20">
        <v>66</v>
      </c>
      <c r="B125" s="20">
        <v>21.18</v>
      </c>
      <c r="C125" s="20">
        <v>18.41</v>
      </c>
      <c r="D125" s="20">
        <v>20.76</v>
      </c>
      <c r="E125" s="20">
        <v>17.760000000000002</v>
      </c>
      <c r="F125" s="20">
        <v>20.32</v>
      </c>
      <c r="G125" s="20">
        <v>16.95</v>
      </c>
      <c r="H125" s="433"/>
      <c r="I125" s="433"/>
      <c r="J125" s="433"/>
      <c r="K125" s="433"/>
      <c r="L125" s="433"/>
      <c r="M125" s="433"/>
    </row>
    <row r="126" spans="1:13" customFormat="1" ht="15" customHeight="1">
      <c r="A126" s="20">
        <v>67</v>
      </c>
      <c r="B126" s="20">
        <v>20.329999999999998</v>
      </c>
      <c r="C126" s="20">
        <v>17.62</v>
      </c>
      <c r="D126" s="20">
        <v>19.920000000000002</v>
      </c>
      <c r="E126" s="20">
        <v>16.989999999999998</v>
      </c>
      <c r="F126" s="20">
        <v>19.489999999999998</v>
      </c>
      <c r="G126" s="20">
        <v>16.21</v>
      </c>
      <c r="H126" s="433"/>
      <c r="I126" s="433"/>
      <c r="J126" s="433"/>
      <c r="K126" s="433"/>
      <c r="L126" s="433"/>
      <c r="M126" s="433"/>
    </row>
    <row r="127" spans="1:13" customFormat="1" ht="15" customHeight="1">
      <c r="A127" s="20">
        <v>68</v>
      </c>
      <c r="B127" s="20">
        <v>19.48</v>
      </c>
      <c r="C127" s="20">
        <v>16.84</v>
      </c>
      <c r="D127" s="20">
        <v>19.079999999999998</v>
      </c>
      <c r="E127" s="20">
        <v>16.239999999999998</v>
      </c>
      <c r="F127" s="20">
        <v>18.670000000000002</v>
      </c>
      <c r="G127" s="20">
        <v>15.48</v>
      </c>
      <c r="H127" s="433"/>
      <c r="I127" s="433"/>
      <c r="J127" s="433"/>
      <c r="K127" s="433"/>
      <c r="L127" s="433"/>
      <c r="M127" s="433"/>
    </row>
    <row r="128" spans="1:13" customFormat="1" ht="15" customHeight="1">
      <c r="A128" s="20">
        <v>69</v>
      </c>
      <c r="B128" s="20">
        <v>18.64</v>
      </c>
      <c r="C128" s="20">
        <v>16.07</v>
      </c>
      <c r="D128" s="20">
        <v>18.239999999999998</v>
      </c>
      <c r="E128" s="20">
        <v>15.49</v>
      </c>
      <c r="F128" s="20">
        <v>17.87</v>
      </c>
      <c r="G128" s="20">
        <v>14.78</v>
      </c>
      <c r="H128" s="433"/>
      <c r="I128" s="433"/>
      <c r="J128" s="433"/>
      <c r="K128" s="433"/>
      <c r="L128" s="433"/>
      <c r="M128" s="433"/>
    </row>
    <row r="129" spans="1:13" customFormat="1" ht="15" customHeight="1">
      <c r="A129" s="20">
        <v>70</v>
      </c>
      <c r="B129" s="20">
        <v>17.8</v>
      </c>
      <c r="C129" s="20">
        <v>15.31</v>
      </c>
      <c r="D129" s="20">
        <v>17.420000000000002</v>
      </c>
      <c r="E129" s="20">
        <v>14.76</v>
      </c>
      <c r="F129" s="20">
        <v>17.079999999999998</v>
      </c>
      <c r="G129" s="20">
        <v>14.08</v>
      </c>
      <c r="H129" s="433"/>
      <c r="I129" s="433"/>
      <c r="J129" s="433"/>
      <c r="K129" s="433"/>
      <c r="L129" s="433"/>
      <c r="M129" s="433"/>
    </row>
    <row r="130" spans="1:13" customFormat="1" ht="15" customHeight="1">
      <c r="A130" s="20">
        <v>71</v>
      </c>
      <c r="B130" s="20">
        <v>16.98</v>
      </c>
      <c r="C130" s="20">
        <v>14.56</v>
      </c>
      <c r="D130" s="20">
        <v>16.61</v>
      </c>
      <c r="E130" s="20">
        <v>14.04</v>
      </c>
      <c r="F130" s="20">
        <v>16.29</v>
      </c>
      <c r="G130" s="20">
        <v>13.41</v>
      </c>
      <c r="H130" s="433"/>
      <c r="I130" s="433"/>
      <c r="J130" s="433"/>
      <c r="K130" s="433"/>
      <c r="L130" s="433"/>
      <c r="M130" s="433"/>
    </row>
    <row r="131" spans="1:13" customFormat="1" ht="15" customHeight="1">
      <c r="A131" s="20">
        <v>72</v>
      </c>
      <c r="B131" s="20">
        <v>16.18</v>
      </c>
      <c r="C131" s="20">
        <v>13.83</v>
      </c>
      <c r="D131" s="20">
        <v>15.82</v>
      </c>
      <c r="E131" s="20">
        <v>13.33</v>
      </c>
      <c r="F131" s="20">
        <v>15.53</v>
      </c>
      <c r="G131" s="20">
        <v>12.75</v>
      </c>
      <c r="H131" s="433"/>
      <c r="I131" s="433"/>
      <c r="J131" s="433"/>
      <c r="K131" s="433"/>
      <c r="L131" s="433"/>
      <c r="M131" s="433"/>
    </row>
    <row r="132" spans="1:13" customFormat="1" ht="15" customHeight="1">
      <c r="A132" s="20">
        <v>73</v>
      </c>
      <c r="B132" s="20">
        <v>15.38</v>
      </c>
      <c r="C132" s="20">
        <v>13.11</v>
      </c>
      <c r="D132" s="20">
        <v>15.03</v>
      </c>
      <c r="E132" s="20">
        <v>12.64</v>
      </c>
      <c r="F132" s="20">
        <v>14.78</v>
      </c>
      <c r="G132" s="20">
        <v>12.11</v>
      </c>
      <c r="H132" s="433"/>
      <c r="I132" s="433"/>
      <c r="J132" s="433"/>
      <c r="K132" s="433"/>
      <c r="L132" s="433"/>
      <c r="M132" s="433"/>
    </row>
    <row r="133" spans="1:13" customFormat="1" ht="15" customHeight="1">
      <c r="A133" s="20">
        <v>74</v>
      </c>
      <c r="B133" s="20">
        <v>14.6</v>
      </c>
      <c r="C133" s="20">
        <v>12.4</v>
      </c>
      <c r="D133" s="20">
        <v>14.27</v>
      </c>
      <c r="E133" s="20">
        <v>11.96</v>
      </c>
      <c r="F133" s="20">
        <v>14.05</v>
      </c>
      <c r="G133" s="20">
        <v>11.5</v>
      </c>
      <c r="H133" s="433"/>
      <c r="I133" s="433"/>
      <c r="J133" s="433"/>
      <c r="K133" s="433"/>
      <c r="L133" s="433"/>
      <c r="M133" s="433"/>
    </row>
    <row r="134" spans="1:13" customFormat="1" ht="15" customHeight="1">
      <c r="A134" s="20">
        <v>75</v>
      </c>
      <c r="B134" s="20">
        <v>13.83</v>
      </c>
      <c r="C134" s="20">
        <v>11.72</v>
      </c>
      <c r="D134" s="20">
        <v>13.51</v>
      </c>
      <c r="E134" s="20">
        <v>11.31</v>
      </c>
      <c r="F134" s="20">
        <v>13.33</v>
      </c>
      <c r="G134" s="20">
        <v>10.9</v>
      </c>
      <c r="H134" s="433"/>
      <c r="I134" s="433"/>
      <c r="J134" s="433"/>
      <c r="K134" s="433"/>
      <c r="L134" s="433"/>
      <c r="M134" s="433"/>
    </row>
    <row r="135" spans="1:13" customFormat="1" ht="15" customHeight="1">
      <c r="A135" s="20">
        <v>76</v>
      </c>
      <c r="B135" s="20">
        <v>13.08</v>
      </c>
      <c r="C135" s="20">
        <v>11.05</v>
      </c>
      <c r="D135" s="20">
        <v>12.78</v>
      </c>
      <c r="E135" s="20">
        <v>10.68</v>
      </c>
      <c r="F135" s="20">
        <v>12.63</v>
      </c>
      <c r="G135" s="20">
        <v>10.32</v>
      </c>
      <c r="H135" s="433"/>
      <c r="I135" s="433"/>
      <c r="J135" s="433"/>
      <c r="K135" s="433"/>
      <c r="L135" s="433"/>
      <c r="M135" s="433"/>
    </row>
    <row r="136" spans="1:13" customFormat="1" ht="15" customHeight="1">
      <c r="A136" s="20">
        <v>77</v>
      </c>
      <c r="B136" s="20">
        <v>12.33</v>
      </c>
      <c r="C136" s="20">
        <v>10.41</v>
      </c>
      <c r="D136" s="20">
        <v>12.05</v>
      </c>
      <c r="E136" s="20">
        <v>10.07</v>
      </c>
      <c r="F136" s="20">
        <v>11.94</v>
      </c>
      <c r="G136" s="20">
        <v>9.77</v>
      </c>
      <c r="H136" s="433"/>
      <c r="I136" s="433"/>
      <c r="J136" s="433"/>
      <c r="K136" s="433"/>
      <c r="L136" s="433"/>
      <c r="M136" s="433"/>
    </row>
    <row r="137" spans="1:13" customFormat="1" ht="15" customHeight="1">
      <c r="A137" s="20">
        <v>78</v>
      </c>
      <c r="B137" s="20">
        <v>11.61</v>
      </c>
      <c r="C137" s="20">
        <v>9.7799999999999994</v>
      </c>
      <c r="D137" s="20">
        <v>11.35</v>
      </c>
      <c r="E137" s="20">
        <v>9.48</v>
      </c>
      <c r="F137" s="20">
        <v>11.27</v>
      </c>
      <c r="G137" s="20">
        <v>9.24</v>
      </c>
      <c r="H137" s="433"/>
      <c r="I137" s="433"/>
      <c r="J137" s="433"/>
      <c r="K137" s="433"/>
      <c r="L137" s="433"/>
      <c r="M137" s="433"/>
    </row>
    <row r="138" spans="1:13" customFormat="1" ht="15" customHeight="1">
      <c r="A138" s="20">
        <v>79</v>
      </c>
      <c r="B138" s="20">
        <v>10.9</v>
      </c>
      <c r="C138" s="20">
        <v>9.18</v>
      </c>
      <c r="D138" s="20">
        <v>10.67</v>
      </c>
      <c r="E138" s="20">
        <v>8.92</v>
      </c>
      <c r="F138" s="20">
        <v>10.61</v>
      </c>
      <c r="G138" s="20">
        <v>8.73</v>
      </c>
      <c r="H138" s="433"/>
      <c r="I138" s="433"/>
      <c r="J138" s="433"/>
      <c r="K138" s="433"/>
      <c r="L138" s="433"/>
      <c r="M138" s="433"/>
    </row>
    <row r="139" spans="1:13" customFormat="1" ht="15" customHeight="1">
      <c r="A139" s="20">
        <v>80</v>
      </c>
      <c r="B139" s="20">
        <v>10.210000000000001</v>
      </c>
      <c r="C139" s="20">
        <v>8.6</v>
      </c>
      <c r="D139" s="20">
        <v>10.01</v>
      </c>
      <c r="E139" s="20">
        <v>8.3800000000000008</v>
      </c>
      <c r="F139" s="20">
        <v>9.98</v>
      </c>
      <c r="G139" s="20">
        <v>8.24</v>
      </c>
      <c r="H139" s="433"/>
      <c r="I139" s="433"/>
      <c r="J139" s="433"/>
      <c r="K139" s="433"/>
      <c r="L139" s="433"/>
      <c r="M139" s="433"/>
    </row>
    <row r="140" spans="1:13" customFormat="1" ht="15" customHeight="1">
      <c r="A140" s="20">
        <v>81</v>
      </c>
      <c r="B140" s="20">
        <v>9.5500000000000007</v>
      </c>
      <c r="C140" s="20">
        <v>8.0399999999999991</v>
      </c>
      <c r="D140" s="20">
        <v>9.3699999999999992</v>
      </c>
      <c r="E140" s="20">
        <v>7.86</v>
      </c>
      <c r="F140" s="20">
        <v>9.3800000000000008</v>
      </c>
      <c r="G140" s="20">
        <v>7.77</v>
      </c>
      <c r="H140" s="433"/>
      <c r="I140" s="433"/>
      <c r="J140" s="433"/>
      <c r="K140" s="433"/>
      <c r="L140" s="433"/>
      <c r="M140" s="433"/>
    </row>
    <row r="141" spans="1:13" customFormat="1" ht="15" customHeight="1">
      <c r="A141" s="20">
        <v>82</v>
      </c>
      <c r="B141" s="20">
        <v>8.9</v>
      </c>
      <c r="C141" s="20">
        <v>7.51</v>
      </c>
      <c r="D141" s="20">
        <v>8.75</v>
      </c>
      <c r="E141" s="20">
        <v>7.36</v>
      </c>
      <c r="F141" s="20">
        <v>8.81</v>
      </c>
      <c r="G141" s="20">
        <v>7.32</v>
      </c>
      <c r="H141" s="433"/>
      <c r="I141" s="433"/>
      <c r="J141" s="433"/>
      <c r="K141" s="433"/>
      <c r="L141" s="433"/>
      <c r="M141" s="433"/>
    </row>
    <row r="142" spans="1:13" customFormat="1" ht="15" customHeight="1">
      <c r="A142" s="20">
        <v>83</v>
      </c>
      <c r="B142" s="20">
        <v>8.2899999999999991</v>
      </c>
      <c r="C142" s="20">
        <v>7</v>
      </c>
      <c r="D142" s="20">
        <v>8.17</v>
      </c>
      <c r="E142" s="20">
        <v>6.89</v>
      </c>
      <c r="F142" s="20">
        <v>8.27</v>
      </c>
      <c r="G142" s="20">
        <v>6.89</v>
      </c>
      <c r="H142" s="433"/>
      <c r="I142" s="433"/>
      <c r="J142" s="433"/>
      <c r="K142" s="433"/>
      <c r="L142" s="433"/>
      <c r="M142" s="433"/>
    </row>
    <row r="143" spans="1:13" customFormat="1" ht="15" customHeight="1">
      <c r="A143" s="20">
        <v>84</v>
      </c>
      <c r="B143" s="20">
        <v>7.7</v>
      </c>
      <c r="C143" s="20">
        <v>6.52</v>
      </c>
      <c r="D143" s="20">
        <v>7.61</v>
      </c>
      <c r="E143" s="20">
        <v>6.45</v>
      </c>
      <c r="F143" s="20">
        <v>7.76</v>
      </c>
      <c r="G143" s="20">
        <v>6.48</v>
      </c>
      <c r="H143" s="433"/>
      <c r="I143" s="433"/>
      <c r="J143" s="433"/>
      <c r="K143" s="433"/>
      <c r="L143" s="433"/>
      <c r="M143" s="433"/>
    </row>
    <row r="144" spans="1:13" customFormat="1" ht="15" customHeight="1">
      <c r="A144" s="20">
        <v>85</v>
      </c>
      <c r="B144" s="20">
        <v>7.14</v>
      </c>
      <c r="C144" s="20">
        <v>6.06</v>
      </c>
      <c r="D144" s="20">
        <v>7.08</v>
      </c>
      <c r="E144" s="20">
        <v>6.03</v>
      </c>
      <c r="F144" s="20">
        <v>7.28</v>
      </c>
      <c r="G144" s="20">
        <v>6.11</v>
      </c>
      <c r="H144" s="433"/>
      <c r="I144" s="433"/>
      <c r="J144" s="433"/>
      <c r="K144" s="433"/>
      <c r="L144" s="433"/>
      <c r="M144" s="433"/>
    </row>
    <row r="145" spans="1:13" customFormat="1" ht="15" customHeight="1">
      <c r="A145" s="20">
        <v>86</v>
      </c>
      <c r="B145" s="20">
        <v>6.61</v>
      </c>
      <c r="C145" s="20">
        <v>5.64</v>
      </c>
      <c r="D145" s="20">
        <v>6.58</v>
      </c>
      <c r="E145" s="20">
        <v>5.64</v>
      </c>
      <c r="F145" s="20">
        <v>6.83</v>
      </c>
      <c r="G145" s="20">
        <v>5.77</v>
      </c>
      <c r="H145" s="433"/>
      <c r="I145" s="433"/>
      <c r="J145" s="433"/>
      <c r="K145" s="433"/>
      <c r="L145" s="433"/>
      <c r="M145" s="433"/>
    </row>
    <row r="146" spans="1:13" customFormat="1" ht="15" customHeight="1">
      <c r="A146" s="20">
        <v>87</v>
      </c>
      <c r="B146" s="20">
        <v>6.11</v>
      </c>
      <c r="C146" s="20">
        <v>5.24</v>
      </c>
      <c r="D146" s="20">
        <v>6.11</v>
      </c>
      <c r="E146" s="20">
        <v>5.27</v>
      </c>
      <c r="F146" s="20">
        <v>6.41</v>
      </c>
      <c r="G146" s="20">
        <v>5.47</v>
      </c>
      <c r="H146" s="433"/>
      <c r="I146" s="433"/>
      <c r="J146" s="433"/>
      <c r="K146" s="433"/>
      <c r="L146" s="433"/>
      <c r="M146" s="433"/>
    </row>
    <row r="147" spans="1:13" customFormat="1" ht="15" customHeight="1">
      <c r="A147" s="20">
        <v>88</v>
      </c>
      <c r="B147" s="20">
        <v>5.65</v>
      </c>
      <c r="C147" s="20">
        <v>4.87</v>
      </c>
      <c r="D147" s="20">
        <v>5.68</v>
      </c>
      <c r="E147" s="20">
        <v>4.9400000000000004</v>
      </c>
      <c r="F147" s="20">
        <v>6.02</v>
      </c>
      <c r="G147" s="20">
        <v>5.2</v>
      </c>
      <c r="H147" s="433"/>
      <c r="I147" s="433"/>
      <c r="J147" s="433"/>
      <c r="K147" s="433"/>
      <c r="L147" s="433"/>
      <c r="M147" s="433"/>
    </row>
    <row r="148" spans="1:13" customFormat="1" ht="15" customHeight="1">
      <c r="A148" s="20">
        <v>89</v>
      </c>
      <c r="B148" s="20">
        <v>5.22</v>
      </c>
      <c r="C148" s="20">
        <v>4.5199999999999996</v>
      </c>
      <c r="D148" s="20">
        <v>5.28</v>
      </c>
      <c r="E148" s="20">
        <v>4.63</v>
      </c>
      <c r="F148" s="20">
        <v>5.66</v>
      </c>
      <c r="G148" s="20">
        <v>4.95</v>
      </c>
      <c r="H148" s="433"/>
      <c r="I148" s="433"/>
      <c r="J148" s="433"/>
      <c r="K148" s="433"/>
      <c r="L148" s="433"/>
      <c r="M148" s="433"/>
    </row>
    <row r="149" spans="1:13" customFormat="1" ht="15" customHeight="1">
      <c r="A149" s="20">
        <v>90</v>
      </c>
      <c r="B149" s="20">
        <v>4.82</v>
      </c>
      <c r="C149" s="20">
        <v>4.21</v>
      </c>
      <c r="D149" s="20">
        <v>4.91</v>
      </c>
      <c r="E149" s="20">
        <v>4.3600000000000003</v>
      </c>
      <c r="F149" s="20">
        <v>5.33</v>
      </c>
      <c r="G149" s="20">
        <v>4.74</v>
      </c>
      <c r="H149" s="433"/>
      <c r="I149" s="433"/>
      <c r="J149" s="433"/>
      <c r="K149" s="433"/>
      <c r="L149" s="433"/>
      <c r="M149" s="433"/>
    </row>
    <row r="150" spans="1:13" customFormat="1" ht="15" customHeight="1">
      <c r="A150" s="20">
        <v>91</v>
      </c>
      <c r="B150" s="20">
        <v>4.45</v>
      </c>
      <c r="C150" s="20">
        <v>3.92</v>
      </c>
      <c r="D150" s="20">
        <v>4.57</v>
      </c>
      <c r="E150" s="20">
        <v>4.1100000000000003</v>
      </c>
      <c r="F150" s="20">
        <v>5.03</v>
      </c>
      <c r="G150" s="20">
        <v>4.54</v>
      </c>
      <c r="H150" s="433"/>
      <c r="I150" s="433"/>
      <c r="J150" s="433"/>
      <c r="K150" s="433"/>
      <c r="L150" s="433"/>
      <c r="M150" s="433"/>
    </row>
    <row r="151" spans="1:13" customFormat="1" ht="15" customHeight="1">
      <c r="A151" s="20">
        <v>92</v>
      </c>
      <c r="B151" s="20">
        <v>4.12</v>
      </c>
      <c r="C151" s="20">
        <v>3.66</v>
      </c>
      <c r="D151" s="20">
        <v>4.2699999999999996</v>
      </c>
      <c r="E151" s="20">
        <v>3.89</v>
      </c>
      <c r="F151" s="20">
        <v>4.75</v>
      </c>
      <c r="G151" s="20">
        <v>4.3600000000000003</v>
      </c>
      <c r="H151" s="433"/>
      <c r="I151" s="433"/>
      <c r="J151" s="433"/>
      <c r="K151" s="433"/>
      <c r="L151" s="433"/>
      <c r="M151" s="433"/>
    </row>
    <row r="152" spans="1:13" customFormat="1" ht="15" customHeight="1">
      <c r="A152" s="20">
        <v>93</v>
      </c>
      <c r="B152" s="20">
        <v>3.82</v>
      </c>
      <c r="C152" s="20">
        <v>3.44</v>
      </c>
      <c r="D152" s="20">
        <v>3.99</v>
      </c>
      <c r="E152" s="20">
        <v>3.69</v>
      </c>
      <c r="F152" s="20">
        <v>4.5</v>
      </c>
      <c r="G152" s="20">
        <v>4.1900000000000004</v>
      </c>
      <c r="H152" s="433"/>
      <c r="I152" s="433"/>
      <c r="J152" s="433"/>
      <c r="K152" s="433"/>
      <c r="L152" s="433"/>
      <c r="M152" s="433"/>
    </row>
    <row r="153" spans="1:13" customFormat="1" ht="15" customHeight="1">
      <c r="A153" s="20">
        <v>94</v>
      </c>
      <c r="B153" s="20">
        <v>3.55</v>
      </c>
      <c r="C153" s="20">
        <v>3.24</v>
      </c>
      <c r="D153" s="20">
        <v>3.75</v>
      </c>
      <c r="E153" s="20">
        <v>3.51</v>
      </c>
      <c r="F153" s="20">
        <v>4.28</v>
      </c>
      <c r="G153" s="20">
        <v>4.03</v>
      </c>
      <c r="H153" s="433"/>
      <c r="I153" s="433"/>
      <c r="J153" s="433"/>
      <c r="K153" s="433"/>
      <c r="L153" s="433"/>
      <c r="M153" s="433"/>
    </row>
    <row r="154" spans="1:13" customFormat="1" ht="15" customHeight="1">
      <c r="A154" s="20">
        <v>95</v>
      </c>
      <c r="B154" s="20">
        <v>3.32</v>
      </c>
      <c r="C154" s="20">
        <v>3.06</v>
      </c>
      <c r="D154" s="20">
        <v>3.53</v>
      </c>
      <c r="E154" s="20">
        <v>3.36</v>
      </c>
      <c r="F154" s="20">
        <v>4.07</v>
      </c>
      <c r="G154" s="20">
        <v>3.87</v>
      </c>
      <c r="H154" s="433"/>
      <c r="I154" s="433"/>
      <c r="J154" s="433"/>
      <c r="K154" s="433"/>
      <c r="L154" s="433"/>
      <c r="M154" s="433"/>
    </row>
    <row r="155" spans="1:13" customFormat="1" ht="15" customHeight="1">
      <c r="A155" s="20">
        <v>96</v>
      </c>
      <c r="B155" s="20">
        <v>3.11</v>
      </c>
      <c r="C155" s="20">
        <v>2.91</v>
      </c>
      <c r="D155" s="20">
        <v>3.33</v>
      </c>
      <c r="E155" s="20">
        <v>3.22</v>
      </c>
      <c r="F155" s="20">
        <v>3.88</v>
      </c>
      <c r="G155" s="20">
        <v>3.73</v>
      </c>
      <c r="H155" s="433"/>
      <c r="I155" s="433"/>
      <c r="J155" s="433"/>
      <c r="K155" s="433"/>
      <c r="L155" s="433"/>
      <c r="M155" s="433"/>
    </row>
    <row r="156" spans="1:13" customFormat="1" ht="15" customHeight="1">
      <c r="A156" s="20">
        <v>97</v>
      </c>
      <c r="B156" s="20">
        <v>2.93</v>
      </c>
      <c r="C156" s="20">
        <v>2.78</v>
      </c>
      <c r="D156" s="20">
        <v>3.16</v>
      </c>
      <c r="E156" s="20">
        <v>3.1</v>
      </c>
      <c r="F156" s="20">
        <v>3.71</v>
      </c>
      <c r="G156" s="20">
        <v>3.6</v>
      </c>
      <c r="H156" s="433"/>
      <c r="I156" s="433"/>
      <c r="J156" s="433"/>
      <c r="K156" s="433"/>
      <c r="L156" s="433"/>
      <c r="M156" s="433"/>
    </row>
    <row r="157" spans="1:13" customFormat="1" ht="15" customHeight="1">
      <c r="A157" s="20">
        <v>98</v>
      </c>
      <c r="B157" s="20">
        <v>2.77</v>
      </c>
      <c r="C157" s="20">
        <v>2.67</v>
      </c>
      <c r="D157" s="20">
        <v>3</v>
      </c>
      <c r="E157" s="20">
        <v>2.99</v>
      </c>
      <c r="F157" s="20">
        <v>3.55</v>
      </c>
      <c r="G157" s="20">
        <v>3.47</v>
      </c>
      <c r="H157" s="433"/>
      <c r="I157" s="433"/>
      <c r="J157" s="433"/>
      <c r="K157" s="433"/>
      <c r="L157" s="433"/>
      <c r="M157" s="433"/>
    </row>
    <row r="158" spans="1:13" customFormat="1" ht="15" customHeight="1">
      <c r="A158" s="20">
        <v>99</v>
      </c>
      <c r="B158" s="20">
        <v>2.62</v>
      </c>
      <c r="C158" s="20">
        <v>2.57</v>
      </c>
      <c r="D158" s="20">
        <v>2.86</v>
      </c>
      <c r="E158" s="20">
        <v>2.9</v>
      </c>
      <c r="F158" s="20">
        <v>3.4</v>
      </c>
      <c r="G158" s="20">
        <v>3.35</v>
      </c>
      <c r="H158" s="433"/>
      <c r="I158" s="433"/>
      <c r="J158" s="433"/>
      <c r="K158" s="433"/>
      <c r="L158" s="433"/>
      <c r="M158" s="433"/>
    </row>
    <row r="159" spans="1:13" customFormat="1" ht="15" customHeight="1">
      <c r="A159" s="20">
        <v>100</v>
      </c>
      <c r="B159" s="20">
        <v>2.5</v>
      </c>
      <c r="C159" s="20">
        <v>2.46</v>
      </c>
      <c r="D159" s="20">
        <v>2.74</v>
      </c>
      <c r="E159" s="20">
        <v>2.81</v>
      </c>
      <c r="F159" s="20">
        <v>3.26</v>
      </c>
      <c r="G159" s="20">
        <v>3.24</v>
      </c>
      <c r="H159" s="433"/>
      <c r="I159" s="433"/>
      <c r="J159" s="433"/>
      <c r="K159" s="433"/>
      <c r="L159" s="433"/>
      <c r="M159" s="433"/>
    </row>
    <row r="160" spans="1:13" customFormat="1" ht="15" customHeight="1">
      <c r="A160" s="389"/>
      <c r="B160" s="389"/>
      <c r="C160" s="389"/>
      <c r="D160" s="436"/>
      <c r="E160" s="433"/>
      <c r="F160" s="433"/>
      <c r="G160" s="433"/>
      <c r="H160" s="433"/>
      <c r="I160" s="433"/>
      <c r="J160" s="433"/>
      <c r="K160" s="433"/>
      <c r="L160" s="433"/>
      <c r="M160" s="433"/>
    </row>
    <row r="161" spans="1:13" customFormat="1" ht="15" customHeight="1">
      <c r="A161" s="433"/>
      <c r="B161" s="433"/>
      <c r="C161" s="433"/>
      <c r="D161" s="433"/>
      <c r="E161" s="433"/>
      <c r="F161" s="433"/>
      <c r="G161" s="433"/>
      <c r="H161" s="433"/>
      <c r="I161" s="433"/>
      <c r="J161" s="433"/>
      <c r="K161" s="433"/>
      <c r="L161" s="433"/>
      <c r="M161" s="433"/>
    </row>
    <row r="162" spans="1:13">
      <c r="A162" s="434" t="s">
        <v>88</v>
      </c>
      <c r="B162" s="434"/>
      <c r="C162" s="434"/>
      <c r="D162" s="434"/>
      <c r="E162" s="434"/>
      <c r="F162" s="434"/>
      <c r="G162" s="434"/>
      <c r="H162" s="434"/>
      <c r="I162" s="433"/>
      <c r="J162" s="433"/>
      <c r="K162" s="433"/>
      <c r="L162" s="433"/>
      <c r="M162" s="433"/>
    </row>
    <row r="163" spans="1:13">
      <c r="A163" s="433"/>
      <c r="B163" s="433"/>
      <c r="C163" s="433"/>
      <c r="D163" s="433"/>
      <c r="E163" s="433"/>
      <c r="F163" s="433"/>
      <c r="G163" s="433"/>
      <c r="H163" s="433"/>
      <c r="I163" s="433"/>
      <c r="J163" s="433"/>
      <c r="K163" s="433"/>
      <c r="L163" s="433"/>
      <c r="M163" s="433"/>
    </row>
    <row r="164" spans="1:13">
      <c r="A164" s="445" t="s">
        <v>3</v>
      </c>
      <c r="B164" s="445" t="s">
        <v>65</v>
      </c>
      <c r="C164" s="445" t="s">
        <v>70</v>
      </c>
      <c r="D164" s="433"/>
      <c r="E164" s="436"/>
      <c r="F164" s="436"/>
      <c r="G164" s="436"/>
      <c r="H164" s="436"/>
      <c r="I164" s="433"/>
      <c r="J164" s="433"/>
      <c r="K164" s="433"/>
      <c r="L164" s="433"/>
      <c r="M164" s="433"/>
    </row>
    <row r="165" spans="1:13">
      <c r="A165" s="389" t="s">
        <v>58</v>
      </c>
      <c r="B165" s="41">
        <v>0.04</v>
      </c>
      <c r="C165" s="485">
        <v>65</v>
      </c>
      <c r="D165" s="378">
        <v>0.04</v>
      </c>
      <c r="E165" s="486"/>
      <c r="F165" s="436"/>
      <c r="G165" s="436"/>
      <c r="H165" s="436"/>
      <c r="I165" s="433"/>
      <c r="J165" s="433"/>
      <c r="K165" s="433"/>
      <c r="L165" s="433"/>
      <c r="M165" s="433"/>
    </row>
    <row r="166" spans="1:13">
      <c r="A166" s="389" t="s">
        <v>59</v>
      </c>
      <c r="B166" s="41">
        <v>0.05</v>
      </c>
      <c r="C166" s="485">
        <v>75</v>
      </c>
      <c r="D166" s="378">
        <v>0.05</v>
      </c>
      <c r="E166" s="486"/>
      <c r="F166" s="436"/>
      <c r="G166" s="436"/>
      <c r="H166" s="436"/>
      <c r="I166" s="433"/>
      <c r="J166" s="433"/>
      <c r="K166" s="433"/>
      <c r="L166" s="433"/>
      <c r="M166" s="433"/>
    </row>
    <row r="167" spans="1:13">
      <c r="A167" s="389" t="s">
        <v>60</v>
      </c>
      <c r="B167" s="41">
        <v>0.06</v>
      </c>
      <c r="C167" s="485">
        <v>80</v>
      </c>
      <c r="D167" s="378">
        <v>0.06</v>
      </c>
      <c r="E167" s="486"/>
      <c r="F167" s="436"/>
      <c r="G167" s="436"/>
      <c r="H167" s="436"/>
      <c r="I167" s="433"/>
      <c r="J167" s="433"/>
      <c r="K167" s="433"/>
      <c r="L167" s="433"/>
      <c r="M167" s="433"/>
    </row>
    <row r="168" spans="1:13">
      <c r="A168" s="389" t="s">
        <v>61</v>
      </c>
      <c r="B168" s="41">
        <v>7.0000000000000007E-2</v>
      </c>
      <c r="C168" s="485">
        <v>85</v>
      </c>
      <c r="D168" s="378">
        <v>7.0000000000000007E-2</v>
      </c>
      <c r="E168" s="486"/>
      <c r="F168" s="436"/>
      <c r="G168" s="436"/>
      <c r="H168" s="436"/>
      <c r="I168" s="433"/>
      <c r="J168" s="433"/>
      <c r="K168" s="433"/>
      <c r="L168" s="433"/>
      <c r="M168" s="433"/>
    </row>
    <row r="169" spans="1:13">
      <c r="A169" s="389" t="s">
        <v>62</v>
      </c>
      <c r="B169" s="41">
        <v>0.09</v>
      </c>
      <c r="C169" s="485">
        <v>90</v>
      </c>
      <c r="D169" s="378">
        <v>0.09</v>
      </c>
      <c r="E169" s="486"/>
      <c r="F169" s="436"/>
      <c r="G169" s="436"/>
      <c r="H169" s="436"/>
      <c r="I169" s="433"/>
      <c r="J169" s="433"/>
      <c r="K169" s="433"/>
      <c r="L169" s="433"/>
      <c r="M169" s="433"/>
    </row>
    <row r="170" spans="1:13">
      <c r="A170" s="389" t="s">
        <v>63</v>
      </c>
      <c r="B170" s="41">
        <v>0.11</v>
      </c>
      <c r="C170" s="485">
        <v>95</v>
      </c>
      <c r="D170" s="378">
        <v>0.11</v>
      </c>
      <c r="E170" s="486"/>
      <c r="F170" s="436"/>
      <c r="G170" s="436"/>
      <c r="H170" s="436"/>
      <c r="I170" s="433"/>
      <c r="J170" s="433"/>
      <c r="K170" s="433"/>
      <c r="L170" s="433"/>
      <c r="M170" s="433"/>
    </row>
    <row r="171" spans="1:13">
      <c r="A171" s="389" t="s">
        <v>64</v>
      </c>
      <c r="B171" s="41">
        <v>0.14000000000000001</v>
      </c>
      <c r="C171" s="485">
        <v>150</v>
      </c>
      <c r="D171" s="378">
        <v>0.14000000000000001</v>
      </c>
      <c r="E171" s="487"/>
      <c r="F171" s="436"/>
      <c r="G171" s="436"/>
      <c r="H171" s="436"/>
      <c r="I171" s="433"/>
      <c r="J171" s="433"/>
      <c r="K171" s="433"/>
      <c r="L171" s="433"/>
      <c r="M171" s="433"/>
    </row>
    <row r="172" spans="1:13">
      <c r="A172" s="389"/>
      <c r="B172" s="378"/>
      <c r="C172" s="485"/>
      <c r="D172" s="487"/>
      <c r="E172" s="487"/>
      <c r="F172" s="436"/>
      <c r="G172" s="436"/>
      <c r="H172" s="436"/>
      <c r="I172" s="433"/>
      <c r="J172" s="433"/>
      <c r="K172" s="433"/>
      <c r="L172" s="433"/>
      <c r="M172" s="433"/>
    </row>
    <row r="173" spans="1:13">
      <c r="A173" s="433"/>
      <c r="B173" s="433"/>
      <c r="C173" s="433"/>
      <c r="D173" s="433"/>
      <c r="E173" s="433"/>
      <c r="F173" s="433"/>
      <c r="G173" s="433"/>
      <c r="H173" s="433"/>
      <c r="I173" s="433"/>
      <c r="J173" s="433"/>
      <c r="K173" s="433"/>
      <c r="L173" s="433"/>
      <c r="M173" s="433"/>
    </row>
    <row r="174" spans="1:13">
      <c r="A174" s="434" t="s">
        <v>191</v>
      </c>
      <c r="B174" s="434"/>
      <c r="C174" s="434"/>
      <c r="D174" s="434"/>
      <c r="E174" s="434"/>
      <c r="F174" s="434"/>
      <c r="G174" s="434"/>
      <c r="H174" s="434"/>
      <c r="I174" s="433"/>
      <c r="J174" s="433"/>
      <c r="K174" s="433"/>
      <c r="L174" s="433"/>
      <c r="M174" s="433"/>
    </row>
    <row r="175" spans="1:13">
      <c r="A175" s="433"/>
      <c r="B175" s="433"/>
      <c r="C175" s="433"/>
      <c r="D175" s="433"/>
      <c r="E175" s="433"/>
      <c r="F175" s="433"/>
      <c r="G175" s="433"/>
      <c r="H175" s="433"/>
      <c r="I175" s="433"/>
      <c r="J175" s="433"/>
      <c r="K175" s="433"/>
      <c r="L175" s="433"/>
      <c r="M175" s="433"/>
    </row>
    <row r="176" spans="1:13">
      <c r="A176" s="446" t="s">
        <v>192</v>
      </c>
      <c r="B176" s="451">
        <v>6500</v>
      </c>
      <c r="C176" s="436" t="s">
        <v>194</v>
      </c>
      <c r="D176" s="436"/>
      <c r="E176" s="436"/>
      <c r="F176" s="436"/>
      <c r="G176" s="436"/>
      <c r="H176" s="436"/>
      <c r="I176" s="433"/>
      <c r="J176" s="433"/>
      <c r="K176" s="433"/>
      <c r="L176" s="433"/>
      <c r="M176" s="433"/>
    </row>
    <row r="177" spans="1:13">
      <c r="A177" s="446" t="s">
        <v>193</v>
      </c>
      <c r="B177" s="451">
        <v>6500</v>
      </c>
      <c r="C177" s="433"/>
      <c r="D177" s="433"/>
      <c r="E177" s="433"/>
      <c r="F177" s="433"/>
      <c r="G177" s="433"/>
      <c r="H177" s="433"/>
      <c r="I177" s="433"/>
      <c r="J177" s="433"/>
      <c r="K177" s="433"/>
      <c r="L177" s="433"/>
      <c r="M177" s="433"/>
    </row>
    <row r="182" spans="1:13" s="682" customFormat="1">
      <c r="A182" s="913" t="s">
        <v>1102</v>
      </c>
      <c r="B182" s="684"/>
      <c r="C182" s="684"/>
      <c r="D182" s="684"/>
      <c r="E182" s="684"/>
      <c r="F182" s="684"/>
      <c r="G182" s="684"/>
      <c r="H182" s="684"/>
      <c r="I182" s="684"/>
      <c r="J182" s="684"/>
    </row>
    <row r="183" spans="1:13" s="682" customFormat="1"/>
    <row r="184" spans="1:13" s="682" customFormat="1" ht="18.75">
      <c r="A184" s="1164" t="s">
        <v>77</v>
      </c>
    </row>
    <row r="185" spans="1:13" s="682" customFormat="1">
      <c r="A185" s="1584" t="s">
        <v>1103</v>
      </c>
      <c r="B185" s="1585"/>
      <c r="C185" s="1586"/>
    </row>
    <row r="186" spans="1:13" s="682" customFormat="1">
      <c r="A186" s="489" t="s">
        <v>1104</v>
      </c>
      <c r="B186" s="489"/>
      <c r="C186" s="914">
        <v>42552</v>
      </c>
      <c r="D186" s="489"/>
    </row>
    <row r="187" spans="1:13" s="682" customFormat="1">
      <c r="A187" s="915">
        <v>0</v>
      </c>
      <c r="B187" s="916">
        <v>0</v>
      </c>
      <c r="C187" s="917">
        <v>0</v>
      </c>
      <c r="D187" s="489"/>
    </row>
    <row r="188" spans="1:13" s="682" customFormat="1">
      <c r="A188" s="915">
        <v>18200</v>
      </c>
      <c r="B188" s="916">
        <v>0</v>
      </c>
      <c r="C188" s="917">
        <v>0.19</v>
      </c>
      <c r="D188" s="489"/>
    </row>
    <row r="189" spans="1:13" s="682" customFormat="1">
      <c r="A189" s="915">
        <v>37000</v>
      </c>
      <c r="B189" s="922">
        <f>((A189-A188)*C188)+B188</f>
        <v>3572</v>
      </c>
      <c r="C189" s="917">
        <v>0.32500000000000001</v>
      </c>
      <c r="D189" s="489"/>
    </row>
    <row r="190" spans="1:13" s="682" customFormat="1">
      <c r="A190" s="915">
        <v>80000</v>
      </c>
      <c r="B190" s="922">
        <f>((A190-A189)*C189)+B189</f>
        <v>17547</v>
      </c>
      <c r="C190" s="917">
        <v>0.37</v>
      </c>
      <c r="D190" s="489"/>
    </row>
    <row r="191" spans="1:13" s="682" customFormat="1">
      <c r="A191" s="915">
        <v>180001</v>
      </c>
      <c r="B191" s="922">
        <f>((A191-A190)*C190)+B190</f>
        <v>54547.37</v>
      </c>
      <c r="C191" s="917">
        <v>0.45</v>
      </c>
      <c r="D191" s="489"/>
    </row>
    <row r="192" spans="1:13" s="682" customFormat="1">
      <c r="A192" s="915">
        <v>180001</v>
      </c>
      <c r="B192" s="922">
        <f>((A192-A191)*C191)+B191</f>
        <v>54547.37</v>
      </c>
      <c r="C192" s="917">
        <v>0.45</v>
      </c>
      <c r="D192" s="489"/>
    </row>
    <row r="193" spans="1:6" s="682" customFormat="1">
      <c r="A193" s="915">
        <v>180001</v>
      </c>
      <c r="B193" s="922">
        <f>((A193-A192)*C192)+B192</f>
        <v>54547.37</v>
      </c>
      <c r="C193" s="917">
        <v>0.45</v>
      </c>
      <c r="D193" s="489"/>
    </row>
    <row r="194" spans="1:6" s="682" customFormat="1">
      <c r="A194" s="1576" t="s">
        <v>1105</v>
      </c>
      <c r="B194" s="1577"/>
      <c r="C194" s="1578"/>
      <c r="D194" s="489"/>
    </row>
    <row r="195" spans="1:6" s="682" customFormat="1">
      <c r="A195" s="919" t="s">
        <v>1106</v>
      </c>
      <c r="B195" s="919" t="s">
        <v>127</v>
      </c>
      <c r="C195" s="919" t="s">
        <v>126</v>
      </c>
      <c r="D195" s="919" t="s">
        <v>1107</v>
      </c>
    </row>
    <row r="196" spans="1:6" s="682" customFormat="1">
      <c r="A196" s="920">
        <v>445</v>
      </c>
      <c r="B196" s="921">
        <v>37000</v>
      </c>
      <c r="C196" s="918">
        <f>A196/D196+B196</f>
        <v>66666.666666666672</v>
      </c>
      <c r="D196" s="920">
        <v>1.4999999999999999E-2</v>
      </c>
    </row>
    <row r="197" spans="1:6" s="682" customFormat="1"/>
    <row r="198" spans="1:6" s="682" customFormat="1">
      <c r="A198" s="923" t="s">
        <v>1108</v>
      </c>
      <c r="B198" s="489"/>
      <c r="C198" s="489"/>
      <c r="D198" s="489"/>
      <c r="E198" s="489"/>
    </row>
    <row r="199" spans="1:6" s="682" customFormat="1" ht="30">
      <c r="A199" s="924" t="s">
        <v>1109</v>
      </c>
      <c r="B199" s="924" t="s">
        <v>1110</v>
      </c>
      <c r="C199" s="924" t="s">
        <v>1111</v>
      </c>
      <c r="D199" s="924" t="s">
        <v>1112</v>
      </c>
      <c r="E199" s="924" t="s">
        <v>1113</v>
      </c>
    </row>
    <row r="200" spans="1:6" s="682" customFormat="1">
      <c r="A200" s="925" t="s">
        <v>0</v>
      </c>
      <c r="B200" s="926">
        <v>32279</v>
      </c>
      <c r="C200" s="927">
        <f>D200/E200+B200</f>
        <v>50119</v>
      </c>
      <c r="D200" s="928">
        <v>2230</v>
      </c>
      <c r="E200" s="929">
        <v>0.125</v>
      </c>
    </row>
    <row r="201" spans="1:6" s="682" customFormat="1">
      <c r="A201" s="925" t="s">
        <v>10</v>
      </c>
      <c r="B201" s="927">
        <f>((A196+D201)/C188)+A188</f>
        <v>28973.684210526313</v>
      </c>
      <c r="C201" s="927">
        <f>D201/E200+B201</f>
        <v>41789.684210526313</v>
      </c>
      <c r="D201" s="928">
        <v>1602</v>
      </c>
      <c r="E201" s="930">
        <f>E200</f>
        <v>0.125</v>
      </c>
    </row>
    <row r="202" spans="1:6" s="682" customFormat="1">
      <c r="A202" s="925" t="s">
        <v>1245</v>
      </c>
      <c r="B202" s="927">
        <f>((A196+D202)/C188)+A188</f>
        <v>31278.947368421053</v>
      </c>
      <c r="C202" s="927">
        <f>D202/E200+B202</f>
        <v>47598.947368421053</v>
      </c>
      <c r="D202" s="928">
        <v>2040</v>
      </c>
      <c r="E202" s="930">
        <v>0</v>
      </c>
    </row>
    <row r="203" spans="1:6" s="682" customFormat="1"/>
    <row r="204" spans="1:6" s="682" customFormat="1" ht="16.5" thickBot="1">
      <c r="A204" s="931" t="s">
        <v>1114</v>
      </c>
      <c r="B204" s="489"/>
      <c r="C204" s="489"/>
      <c r="D204" s="489"/>
      <c r="E204" s="489"/>
      <c r="F204" s="489"/>
    </row>
    <row r="205" spans="1:6" s="682" customFormat="1" ht="16.5" thickBot="1">
      <c r="A205" s="489"/>
      <c r="B205" s="1579" t="s">
        <v>1115</v>
      </c>
      <c r="C205" s="1580"/>
      <c r="D205" s="1579" t="s">
        <v>1116</v>
      </c>
      <c r="E205" s="1580"/>
      <c r="F205" s="489"/>
    </row>
    <row r="206" spans="1:6" s="682" customFormat="1" ht="30.75" thickBot="1">
      <c r="A206" s="924" t="s">
        <v>1109</v>
      </c>
      <c r="B206" s="932" t="s">
        <v>1117</v>
      </c>
      <c r="C206" s="932" t="s">
        <v>1118</v>
      </c>
      <c r="D206" s="932" t="s">
        <v>1119</v>
      </c>
      <c r="E206" s="933" t="s">
        <v>1120</v>
      </c>
      <c r="F206" s="934" t="s">
        <v>416</v>
      </c>
    </row>
    <row r="207" spans="1:6" s="682" customFormat="1">
      <c r="A207" s="925" t="s">
        <v>0</v>
      </c>
      <c r="B207" s="935">
        <v>33738</v>
      </c>
      <c r="C207" s="935">
        <v>42173</v>
      </c>
      <c r="D207" s="935">
        <v>21335</v>
      </c>
      <c r="E207" s="935">
        <v>26669</v>
      </c>
      <c r="F207" s="936">
        <v>0.02</v>
      </c>
    </row>
    <row r="208" spans="1:6" s="682" customFormat="1">
      <c r="A208" s="925" t="s">
        <v>1121</v>
      </c>
      <c r="B208" s="935">
        <v>46966</v>
      </c>
      <c r="C208" s="935">
        <v>58708</v>
      </c>
      <c r="D208" s="935">
        <v>36001</v>
      </c>
      <c r="E208" s="935">
        <v>45002</v>
      </c>
      <c r="F208" s="489"/>
    </row>
    <row r="209" spans="1:4" s="682" customFormat="1"/>
    <row r="210" spans="1:4" s="682" customFormat="1"/>
    <row r="211" spans="1:4" s="682" customFormat="1"/>
    <row r="212" spans="1:4" s="682" customFormat="1"/>
    <row r="213" spans="1:4" s="682" customFormat="1" ht="18.75">
      <c r="A213" s="1164" t="s">
        <v>1244</v>
      </c>
    </row>
    <row r="214" spans="1:4" s="682" customFormat="1">
      <c r="A214" s="1581" t="s">
        <v>1103</v>
      </c>
      <c r="B214" s="1582"/>
      <c r="C214" s="1583"/>
    </row>
    <row r="215" spans="1:4" s="682" customFormat="1">
      <c r="A215" s="1178" t="s">
        <v>1104</v>
      </c>
      <c r="B215" s="1178"/>
      <c r="C215" s="1179">
        <v>42552</v>
      </c>
      <c r="D215" s="489"/>
    </row>
    <row r="216" spans="1:4" s="682" customFormat="1">
      <c r="A216" s="1180">
        <v>0</v>
      </c>
      <c r="B216" s="1156">
        <v>0</v>
      </c>
      <c r="C216" s="1181">
        <f t="shared" ref="C216:C222" si="0">C187</f>
        <v>0</v>
      </c>
      <c r="D216" s="489"/>
    </row>
    <row r="217" spans="1:4" s="682" customFormat="1">
      <c r="A217" s="1180">
        <f>A188*((1+Settings!$J$63)^14)</f>
        <v>25716.123541722543</v>
      </c>
      <c r="B217" s="1156">
        <v>0</v>
      </c>
      <c r="C217" s="1181">
        <f t="shared" si="0"/>
        <v>0.19</v>
      </c>
      <c r="D217" s="489"/>
    </row>
    <row r="218" spans="1:4" s="682" customFormat="1">
      <c r="A218" s="1180">
        <f>A189*((1+Settings!$J$63)^14)</f>
        <v>52280.031376029343</v>
      </c>
      <c r="B218" s="1159">
        <f>((A218-A217)*C217)+B217</f>
        <v>5047.1424885182923</v>
      </c>
      <c r="C218" s="1181">
        <f t="shared" si="0"/>
        <v>0.32500000000000001</v>
      </c>
      <c r="D218" s="489"/>
    </row>
    <row r="219" spans="1:4" s="682" customFormat="1">
      <c r="A219" s="1180">
        <f>A190*((1+Settings!$J$63)^14)</f>
        <v>113037.90567790129</v>
      </c>
      <c r="B219" s="1159">
        <f>((A219-A218)*C218)+B218</f>
        <v>24793.451636626676</v>
      </c>
      <c r="C219" s="1181">
        <f t="shared" si="0"/>
        <v>0.37</v>
      </c>
      <c r="D219" s="489"/>
    </row>
    <row r="220" spans="1:4" s="682" customFormat="1">
      <c r="A220" s="1180">
        <f>A191*((1+Settings!$J$63)^14)</f>
        <v>254336.70074909888</v>
      </c>
      <c r="B220" s="1159">
        <f>((A220-A219)*C219)+B219</f>
        <v>77074.005812969786</v>
      </c>
      <c r="C220" s="1181">
        <f t="shared" si="0"/>
        <v>0.45</v>
      </c>
      <c r="D220" s="489"/>
    </row>
    <row r="221" spans="1:4" s="682" customFormat="1">
      <c r="A221" s="1180">
        <f>A192*((1+Settings!$J$63)^14)</f>
        <v>254336.70074909888</v>
      </c>
      <c r="B221" s="1159">
        <f>((A221-A220)*C220)+B220</f>
        <v>77074.005812969786</v>
      </c>
      <c r="C221" s="1181">
        <f t="shared" si="0"/>
        <v>0.45</v>
      </c>
      <c r="D221" s="489"/>
    </row>
    <row r="222" spans="1:4" s="682" customFormat="1">
      <c r="A222" s="1180">
        <f>A193*((1+Settings!$J$63)^14)</f>
        <v>254336.70074909888</v>
      </c>
      <c r="B222" s="1159">
        <f>((A222-A221)*C221)+B221</f>
        <v>77074.005812969786</v>
      </c>
      <c r="C222" s="1181">
        <f t="shared" si="0"/>
        <v>0.45</v>
      </c>
      <c r="D222" s="489"/>
    </row>
    <row r="223" spans="1:4" s="682" customFormat="1">
      <c r="A223" s="1576" t="s">
        <v>1105</v>
      </c>
      <c r="B223" s="1577"/>
      <c r="C223" s="1578"/>
      <c r="D223" s="489"/>
    </row>
    <row r="224" spans="1:4" s="682" customFormat="1">
      <c r="A224" s="919" t="s">
        <v>1106</v>
      </c>
      <c r="B224" s="919" t="s">
        <v>127</v>
      </c>
      <c r="C224" s="919" t="s">
        <v>126</v>
      </c>
      <c r="D224" s="919" t="s">
        <v>1107</v>
      </c>
    </row>
    <row r="225" spans="1:6" s="682" customFormat="1">
      <c r="A225" s="1182">
        <f>A196*((1+Settings!$J$63)^14)</f>
        <v>628.77335033332588</v>
      </c>
      <c r="B225" s="1183">
        <f>B196*((1+Settings!$J$63)^14)</f>
        <v>52280.031376029343</v>
      </c>
      <c r="C225" s="1157">
        <f>A225/D225+B225</f>
        <v>94198.254731584399</v>
      </c>
      <c r="D225" s="1184">
        <f>D196</f>
        <v>1.4999999999999999E-2</v>
      </c>
      <c r="F225" s="1151"/>
    </row>
    <row r="226" spans="1:6" s="682" customFormat="1"/>
    <row r="227" spans="1:6" s="682" customFormat="1">
      <c r="A227" s="923" t="s">
        <v>1108</v>
      </c>
      <c r="B227" s="489"/>
      <c r="C227" s="489"/>
      <c r="D227" s="489"/>
      <c r="E227" s="489"/>
    </row>
    <row r="228" spans="1:6" s="682" customFormat="1" ht="30">
      <c r="A228" s="924" t="s">
        <v>1109</v>
      </c>
      <c r="B228" s="924" t="s">
        <v>1110</v>
      </c>
      <c r="C228" s="924" t="s">
        <v>1111</v>
      </c>
      <c r="D228" s="924" t="s">
        <v>1112</v>
      </c>
      <c r="E228" s="924" t="s">
        <v>1113</v>
      </c>
    </row>
    <row r="229" spans="1:6" s="682" customFormat="1">
      <c r="A229" s="1154" t="s">
        <v>0</v>
      </c>
      <c r="B229" s="1167">
        <f>B200*((1+Settings!$J$63)^14)</f>
        <v>45609.381967212197</v>
      </c>
      <c r="C229" s="1152">
        <f>D229/E229+B229</f>
        <v>70816.834933384176</v>
      </c>
      <c r="D229" s="1185">
        <f>D200*((1+Settings!$J$63)^14)</f>
        <v>3150.9316207714983</v>
      </c>
      <c r="E229" s="1155">
        <f>E200</f>
        <v>0.125</v>
      </c>
    </row>
    <row r="230" spans="1:6" s="682" customFormat="1">
      <c r="A230" s="1154" t="s">
        <v>10</v>
      </c>
      <c r="B230" s="1152">
        <f>((A225+D230)/C217)+A217</f>
        <v>40939.057286634648</v>
      </c>
      <c r="C230" s="1152">
        <f>D230/E229+B230</f>
        <v>59047.729776234439</v>
      </c>
      <c r="D230" s="1185">
        <f>D201*((1+Settings!$J$63)^14)</f>
        <v>2263.5840611999733</v>
      </c>
      <c r="E230" s="1153">
        <f>E201</f>
        <v>0.125</v>
      </c>
    </row>
    <row r="231" spans="1:6" s="682" customFormat="1">
      <c r="A231" s="1154" t="s">
        <v>1245</v>
      </c>
      <c r="B231" s="1152">
        <f>((A225+D231)/C217)+A217</f>
        <v>44196.333779195222</v>
      </c>
      <c r="C231" s="1152">
        <f>D231/E229+B231</f>
        <v>67256.066537487088</v>
      </c>
      <c r="D231" s="1185">
        <f>D202*((1+Settings!$J$63)^14)</f>
        <v>2882.4665947864828</v>
      </c>
      <c r="E231" s="1153">
        <f>E202</f>
        <v>0</v>
      </c>
    </row>
    <row r="232" spans="1:6" s="682" customFormat="1"/>
    <row r="233" spans="1:6" s="682" customFormat="1" ht="16.5" thickBot="1">
      <c r="A233" s="931" t="s">
        <v>1114</v>
      </c>
      <c r="B233" s="489"/>
      <c r="C233" s="489"/>
      <c r="D233" s="489"/>
      <c r="E233" s="489"/>
      <c r="F233" s="489"/>
    </row>
    <row r="234" spans="1:6" s="682" customFormat="1" ht="16.5" thickBot="1">
      <c r="A234" s="489"/>
      <c r="B234" s="1579" t="s">
        <v>1115</v>
      </c>
      <c r="C234" s="1580"/>
      <c r="D234" s="1579" t="s">
        <v>1116</v>
      </c>
      <c r="E234" s="1580"/>
      <c r="F234" s="489"/>
    </row>
    <row r="235" spans="1:6" s="682" customFormat="1" ht="30.75" thickBot="1">
      <c r="A235" s="924" t="s">
        <v>1109</v>
      </c>
      <c r="B235" s="932" t="s">
        <v>1117</v>
      </c>
      <c r="C235" s="932" t="s">
        <v>1118</v>
      </c>
      <c r="D235" s="932" t="s">
        <v>1119</v>
      </c>
      <c r="E235" s="933" t="s">
        <v>1120</v>
      </c>
      <c r="F235" s="934" t="s">
        <v>416</v>
      </c>
    </row>
    <row r="236" spans="1:6" s="682" customFormat="1">
      <c r="A236" s="925" t="s">
        <v>0</v>
      </c>
      <c r="B236" s="1177">
        <f>B207*((1+Settings!$J$63)^14)</f>
        <v>47670.910772012918</v>
      </c>
      <c r="C236" s="1177">
        <f>C207*((1+Settings!$J$63)^14)</f>
        <v>59589.344951926636</v>
      </c>
      <c r="D236" s="1177">
        <f>D207*((1+Settings!$J$63)^14)</f>
        <v>30145.796470475299</v>
      </c>
      <c r="E236" s="1177">
        <f>E207*((1+Settings!$J$63)^14)</f>
        <v>37682.598831549367</v>
      </c>
      <c r="F236" s="1158">
        <v>0.02</v>
      </c>
    </row>
    <row r="237" spans="1:6" s="682" customFormat="1">
      <c r="A237" s="925" t="s">
        <v>1121</v>
      </c>
      <c r="B237" s="1177">
        <f>B208*((1+Settings!$J$63)^14)</f>
        <v>66361.728475853903</v>
      </c>
      <c r="C237" s="1177">
        <f>C208*((1+Settings!$J$63)^14)</f>
        <v>82952.867081727862</v>
      </c>
      <c r="D237" s="1177">
        <f>D208*((1+Settings!$J$63)^14)</f>
        <v>50868.470528876554</v>
      </c>
      <c r="E237" s="1177">
        <f>E208*((1+Settings!$J$63)^14)</f>
        <v>63586.64789146142</v>
      </c>
      <c r="F237" s="489"/>
    </row>
    <row r="238" spans="1:6" s="682" customFormat="1"/>
    <row r="239" spans="1:6" s="682" customFormat="1"/>
    <row r="240" spans="1:6" s="682" customFormat="1"/>
    <row r="241" spans="1:10" s="682" customFormat="1"/>
    <row r="242" spans="1:10" s="682" customFormat="1" ht="18.75">
      <c r="A242" s="1164" t="s">
        <v>1246</v>
      </c>
    </row>
    <row r="243" spans="1:10">
      <c r="A243" s="1573" t="s">
        <v>1103</v>
      </c>
      <c r="B243" s="1574"/>
      <c r="C243" s="1575"/>
      <c r="D243" s="682"/>
      <c r="E243" s="682"/>
      <c r="F243" s="682"/>
      <c r="G243" s="682"/>
      <c r="H243" s="682"/>
      <c r="I243" s="682"/>
      <c r="J243" s="682"/>
    </row>
    <row r="244" spans="1:10">
      <c r="A244" s="1160" t="s">
        <v>1104</v>
      </c>
      <c r="B244" s="1160"/>
      <c r="C244" s="1161">
        <v>42552</v>
      </c>
      <c r="D244" s="489"/>
      <c r="E244" s="682"/>
      <c r="F244" s="682"/>
      <c r="G244" s="682"/>
      <c r="H244" s="682"/>
      <c r="I244" s="682"/>
      <c r="J244" s="682"/>
    </row>
    <row r="245" spans="1:10">
      <c r="A245" s="1162">
        <f>IF(Settings!$L$88="No",A187,A216)</f>
        <v>0</v>
      </c>
      <c r="B245" s="1162">
        <f>IF(Settings!$L$88="No",B187,B216)</f>
        <v>0</v>
      </c>
      <c r="C245" s="1163">
        <f>IF(Settings!$L$88="No",C187,C216)</f>
        <v>0</v>
      </c>
      <c r="D245" s="489"/>
      <c r="E245" s="682"/>
      <c r="F245" s="682"/>
      <c r="G245" s="682"/>
      <c r="H245" s="682"/>
      <c r="I245" s="682"/>
      <c r="J245" s="682"/>
    </row>
    <row r="246" spans="1:10">
      <c r="A246" s="1162">
        <f>IF(Settings!$L$88="No",A188,A217)</f>
        <v>25716.123541722543</v>
      </c>
      <c r="B246" s="1162">
        <f>IF(Settings!$L$88="No",B188,B217)</f>
        <v>0</v>
      </c>
      <c r="C246" s="1163">
        <f>IF(Settings!$L$88="No",C188,C217)</f>
        <v>0.19</v>
      </c>
      <c r="D246" s="489"/>
      <c r="E246" s="682"/>
      <c r="F246" s="682"/>
      <c r="G246" s="682"/>
      <c r="H246" s="682"/>
      <c r="I246" s="682"/>
      <c r="J246" s="682"/>
    </row>
    <row r="247" spans="1:10">
      <c r="A247" s="1162">
        <f>IF(Settings!$L$88="No",A189,A218)</f>
        <v>52280.031376029343</v>
      </c>
      <c r="B247" s="1162">
        <f>IF(Settings!$L$88="No",B189,B218)</f>
        <v>5047.1424885182923</v>
      </c>
      <c r="C247" s="1163">
        <f>IF(Settings!$L$88="No",C189,C218)</f>
        <v>0.32500000000000001</v>
      </c>
      <c r="D247" s="489"/>
      <c r="E247" s="682"/>
      <c r="F247" s="682"/>
      <c r="G247" s="682"/>
      <c r="H247" s="682"/>
      <c r="I247" s="682"/>
      <c r="J247" s="682"/>
    </row>
    <row r="248" spans="1:10">
      <c r="A248" s="1162">
        <f>IF(Settings!$L$88="No",A190,A219)</f>
        <v>113037.90567790129</v>
      </c>
      <c r="B248" s="1162">
        <f>IF(Settings!$L$88="No",B190,B219)</f>
        <v>24793.451636626676</v>
      </c>
      <c r="C248" s="1163">
        <f>IF(Settings!$L$88="No",C190,C219)</f>
        <v>0.37</v>
      </c>
      <c r="D248" s="489"/>
      <c r="E248" s="682"/>
      <c r="F248" s="682"/>
      <c r="G248" s="682"/>
      <c r="H248" s="682"/>
      <c r="I248" s="682"/>
      <c r="J248" s="682"/>
    </row>
    <row r="249" spans="1:10">
      <c r="A249" s="1162">
        <f>IF(Settings!$L$88="No",A191,A220)</f>
        <v>254336.70074909888</v>
      </c>
      <c r="B249" s="1162">
        <f>IF(Settings!$L$88="No",B191,B220)</f>
        <v>77074.005812969786</v>
      </c>
      <c r="C249" s="1163">
        <f>IF(Settings!$L$88="No",C191,C220)</f>
        <v>0.45</v>
      </c>
      <c r="D249" s="489"/>
      <c r="E249" s="682"/>
      <c r="F249" s="682"/>
      <c r="G249" s="682"/>
      <c r="H249" s="682"/>
      <c r="I249" s="682"/>
      <c r="J249" s="682"/>
    </row>
    <row r="250" spans="1:10">
      <c r="A250" s="1162">
        <f>IF(Settings!$L$88="No",A192,A221)</f>
        <v>254336.70074909888</v>
      </c>
      <c r="B250" s="1162">
        <f>IF(Settings!$L$88="No",B192,B221)</f>
        <v>77074.005812969786</v>
      </c>
      <c r="C250" s="1163">
        <f>IF(Settings!$L$88="No",C192,C221)</f>
        <v>0.45</v>
      </c>
      <c r="D250" s="489"/>
      <c r="E250" s="682"/>
      <c r="F250" s="682"/>
      <c r="G250" s="682"/>
      <c r="H250" s="682"/>
      <c r="I250" s="682"/>
      <c r="J250" s="682"/>
    </row>
    <row r="251" spans="1:10">
      <c r="A251" s="1162">
        <f>IF(Settings!$L$88="No",A193,A222)</f>
        <v>254336.70074909888</v>
      </c>
      <c r="B251" s="1162">
        <f>IF(Settings!$L$88="No",B193,B222)</f>
        <v>77074.005812969786</v>
      </c>
      <c r="C251" s="1163">
        <f>IF(Settings!$L$88="No",C193,C222)</f>
        <v>0.45</v>
      </c>
      <c r="D251" s="489"/>
      <c r="E251" s="682"/>
      <c r="F251" s="682"/>
      <c r="G251" s="682"/>
      <c r="H251" s="682"/>
      <c r="I251" s="682"/>
      <c r="J251" s="682"/>
    </row>
    <row r="252" spans="1:10">
      <c r="A252" s="1576" t="s">
        <v>1105</v>
      </c>
      <c r="B252" s="1577"/>
      <c r="C252" s="1578"/>
      <c r="D252" s="489"/>
      <c r="E252" s="682"/>
      <c r="F252" s="682"/>
      <c r="G252" s="682"/>
      <c r="H252" s="682"/>
      <c r="I252" s="682"/>
      <c r="J252" s="682"/>
    </row>
    <row r="253" spans="1:10">
      <c r="A253" s="919" t="s">
        <v>1106</v>
      </c>
      <c r="B253" s="919" t="s">
        <v>127</v>
      </c>
      <c r="C253" s="919" t="s">
        <v>126</v>
      </c>
      <c r="D253" s="919" t="s">
        <v>1107</v>
      </c>
      <c r="E253" s="682"/>
      <c r="F253" s="682"/>
      <c r="G253" s="682"/>
      <c r="H253" s="682"/>
      <c r="I253" s="682"/>
      <c r="J253" s="682"/>
    </row>
    <row r="254" spans="1:10">
      <c r="A254" s="1166">
        <f>IF(Settings!$L$88="No",A196,A225)</f>
        <v>628.77335033332588</v>
      </c>
      <c r="B254" s="1166">
        <f>IF(Settings!$L$88="No",B196,B225)</f>
        <v>52280.031376029343</v>
      </c>
      <c r="C254" s="1166">
        <f>IF(Settings!$L$88="No",C196,C225)</f>
        <v>94198.254731584399</v>
      </c>
      <c r="D254" s="1165">
        <f>IF(Settings!$L$88="No",D196,D225)</f>
        <v>1.4999999999999999E-2</v>
      </c>
      <c r="E254" s="682"/>
      <c r="F254" s="682"/>
      <c r="G254" s="682"/>
      <c r="H254" s="682"/>
      <c r="I254" s="682"/>
      <c r="J254" s="682"/>
    </row>
    <row r="255" spans="1:10">
      <c r="A255" s="682"/>
      <c r="B255" s="682"/>
      <c r="C255" s="682"/>
      <c r="D255" s="682"/>
      <c r="E255" s="682"/>
      <c r="F255" s="682"/>
      <c r="G255" s="682"/>
      <c r="H255" s="682"/>
      <c r="I255" s="682"/>
      <c r="J255" s="682"/>
    </row>
    <row r="256" spans="1:10">
      <c r="A256" s="923" t="s">
        <v>1108</v>
      </c>
      <c r="B256" s="489"/>
      <c r="C256" s="489"/>
      <c r="D256" s="489"/>
      <c r="E256" s="489"/>
      <c r="F256" s="682"/>
      <c r="G256" s="682"/>
      <c r="H256" s="682"/>
      <c r="I256" s="682"/>
      <c r="J256" s="682"/>
    </row>
    <row r="257" spans="1:10" ht="30">
      <c r="A257" s="1169" t="s">
        <v>1109</v>
      </c>
      <c r="B257" s="1169" t="s">
        <v>1110</v>
      </c>
      <c r="C257" s="1169" t="s">
        <v>1111</v>
      </c>
      <c r="D257" s="1169" t="s">
        <v>1112</v>
      </c>
      <c r="E257" s="1169" t="s">
        <v>1113</v>
      </c>
      <c r="F257" s="682"/>
      <c r="G257" s="682"/>
      <c r="H257" s="682"/>
      <c r="I257" s="682"/>
      <c r="J257" s="682"/>
    </row>
    <row r="258" spans="1:10">
      <c r="A258" s="1170" t="s">
        <v>0</v>
      </c>
      <c r="B258" s="1168">
        <f>IF(Settings!$L$88="No",B200,B229)</f>
        <v>45609.381967212197</v>
      </c>
      <c r="C258" s="1168">
        <f>IF(Settings!$L$88="No",C200,C229)</f>
        <v>70816.834933384176</v>
      </c>
      <c r="D258" s="1168">
        <f>IF(Settings!$L$88="No",D200,D229)</f>
        <v>3150.9316207714983</v>
      </c>
      <c r="E258" s="1171">
        <f>IF(Settings!$L$88="No",E200,E229)</f>
        <v>0.125</v>
      </c>
      <c r="F258" s="682"/>
      <c r="G258" s="682"/>
      <c r="H258" s="682"/>
      <c r="I258" s="682"/>
      <c r="J258" s="682"/>
    </row>
    <row r="259" spans="1:10">
      <c r="A259" s="1170" t="s">
        <v>10</v>
      </c>
      <c r="B259" s="1168">
        <f>IF(Settings!$L$88="No",B201,B230)</f>
        <v>40939.057286634648</v>
      </c>
      <c r="C259" s="1168">
        <f>IF(Settings!$L$88="No",C201,C230)</f>
        <v>59047.729776234439</v>
      </c>
      <c r="D259" s="1168">
        <f>IF(Settings!$L$88="No",D201,D230)</f>
        <v>2263.5840611999733</v>
      </c>
      <c r="E259" s="1171">
        <f>IF(Settings!$L$88="No",E201,E230)</f>
        <v>0.125</v>
      </c>
      <c r="F259" s="682"/>
      <c r="G259" s="682"/>
      <c r="H259" s="682"/>
      <c r="I259" s="682"/>
      <c r="J259" s="682"/>
    </row>
    <row r="260" spans="1:10">
      <c r="A260" s="1170" t="s">
        <v>1245</v>
      </c>
      <c r="B260" s="1168">
        <f>IF(Settings!$L$88="No",B202,B231)</f>
        <v>44196.333779195222</v>
      </c>
      <c r="C260" s="1168">
        <f>IF(Settings!$L$88="No",C202,C231)</f>
        <v>67256.066537487088</v>
      </c>
      <c r="D260" s="1168">
        <f>IF(Settings!$L$88="No",D202,D231)</f>
        <v>2882.4665947864828</v>
      </c>
      <c r="E260" s="1171">
        <f>IF(Settings!$L$88="No",E202,E231)</f>
        <v>0</v>
      </c>
      <c r="F260" s="682"/>
      <c r="G260" s="682"/>
      <c r="H260" s="682"/>
      <c r="I260" s="682"/>
      <c r="J260" s="682"/>
    </row>
    <row r="261" spans="1:10">
      <c r="A261" s="682"/>
      <c r="B261" s="682"/>
      <c r="C261" s="682"/>
      <c r="D261" s="682"/>
      <c r="E261" s="682"/>
      <c r="F261" s="682"/>
      <c r="G261" s="682"/>
      <c r="H261" s="682"/>
      <c r="I261" s="682"/>
      <c r="J261" s="682"/>
    </row>
    <row r="262" spans="1:10" ht="16.5" thickBot="1">
      <c r="A262" s="931" t="s">
        <v>1114</v>
      </c>
      <c r="B262" s="489"/>
      <c r="C262" s="489"/>
      <c r="D262" s="489"/>
      <c r="E262" s="489"/>
      <c r="F262" s="489"/>
      <c r="G262" s="682"/>
      <c r="H262" s="682"/>
      <c r="I262" s="682"/>
      <c r="J262" s="682"/>
    </row>
    <row r="263" spans="1:10" ht="16.5" thickBot="1">
      <c r="A263" s="489"/>
      <c r="B263" s="1589" t="s">
        <v>1115</v>
      </c>
      <c r="C263" s="1590"/>
      <c r="D263" s="1589" t="s">
        <v>1116</v>
      </c>
      <c r="E263" s="1590"/>
      <c r="F263" s="489"/>
      <c r="G263" s="682"/>
      <c r="H263" s="682"/>
      <c r="I263" s="682"/>
      <c r="J263" s="682"/>
    </row>
    <row r="264" spans="1:10" ht="30.75" thickBot="1">
      <c r="A264" s="1169" t="s">
        <v>1109</v>
      </c>
      <c r="B264" s="1172" t="s">
        <v>1117</v>
      </c>
      <c r="C264" s="1172" t="s">
        <v>1118</v>
      </c>
      <c r="D264" s="1172" t="s">
        <v>1119</v>
      </c>
      <c r="E264" s="1173" t="s">
        <v>1120</v>
      </c>
      <c r="F264" s="1174" t="s">
        <v>416</v>
      </c>
      <c r="G264" s="682"/>
      <c r="H264" s="682"/>
      <c r="I264" s="682"/>
      <c r="J264" s="682"/>
    </row>
    <row r="265" spans="1:10">
      <c r="A265" s="1170" t="s">
        <v>0</v>
      </c>
      <c r="B265" s="1175">
        <f>IF(Settings!$L$88="No",B207,B236)</f>
        <v>47670.910772012918</v>
      </c>
      <c r="C265" s="1175">
        <f>IF(Settings!$L$88="No",C207,C236)</f>
        <v>59589.344951926636</v>
      </c>
      <c r="D265" s="1175">
        <f>IF(Settings!$L$88="No",D207,D236)</f>
        <v>30145.796470475299</v>
      </c>
      <c r="E265" s="1175">
        <f>IF(Settings!$L$88="No",E207,E236)</f>
        <v>37682.598831549367</v>
      </c>
      <c r="F265" s="1176">
        <f>IF(Settings!$L$88="No",F207,F236)</f>
        <v>0.02</v>
      </c>
      <c r="G265" s="682"/>
      <c r="H265" s="682"/>
      <c r="I265" s="682"/>
      <c r="J265" s="682"/>
    </row>
    <row r="266" spans="1:10">
      <c r="A266" s="1170" t="s">
        <v>1121</v>
      </c>
      <c r="B266" s="1175">
        <f>IF(Settings!$L$88="No",B208,B237)</f>
        <v>66361.728475853903</v>
      </c>
      <c r="C266" s="1175">
        <f>IF(Settings!$L$88="No",C208,C237)</f>
        <v>82952.867081727862</v>
      </c>
      <c r="D266" s="1175">
        <f>IF(Settings!$L$88="No",D208,D237)</f>
        <v>50868.470528876554</v>
      </c>
      <c r="E266" s="1175">
        <f>IF(Settings!$L$88="No",E208,E237)</f>
        <v>63586.64789146142</v>
      </c>
      <c r="F266" s="489"/>
      <c r="G266" s="682"/>
      <c r="H266" s="682"/>
      <c r="I266" s="682"/>
      <c r="J266" s="682"/>
    </row>
    <row r="267" spans="1:10">
      <c r="A267" s="489"/>
      <c r="B267" s="489"/>
      <c r="C267" s="489"/>
      <c r="D267" s="489"/>
      <c r="E267" s="489"/>
      <c r="F267" s="489"/>
      <c r="G267" s="682"/>
      <c r="H267" s="682"/>
      <c r="I267" s="682"/>
      <c r="J267" s="682"/>
    </row>
    <row r="269" spans="1:10">
      <c r="C269" s="682"/>
    </row>
    <row r="270" spans="1:10" ht="18.75">
      <c r="A270" s="1164" t="s">
        <v>1285</v>
      </c>
      <c r="B270" s="1164" t="s">
        <v>1286</v>
      </c>
    </row>
    <row r="271" spans="1:10">
      <c r="A271" s="1587" t="s">
        <v>1265</v>
      </c>
      <c r="B271" s="1588" t="s">
        <v>1266</v>
      </c>
      <c r="C271" s="1588" t="s">
        <v>1267</v>
      </c>
    </row>
    <row r="272" spans="1:10">
      <c r="A272" s="1587"/>
      <c r="B272" s="1588"/>
      <c r="C272" s="1588"/>
    </row>
    <row r="273" spans="1:3">
      <c r="A273" s="1192"/>
      <c r="B273" s="1193"/>
      <c r="C273" s="762"/>
    </row>
    <row r="274" spans="1:3">
      <c r="A274" s="1194" t="s">
        <v>1268</v>
      </c>
      <c r="B274" s="832"/>
      <c r="C274" s="762"/>
    </row>
    <row r="275" spans="1:3">
      <c r="A275" s="1192" t="s">
        <v>1269</v>
      </c>
      <c r="B275" s="1195">
        <v>100</v>
      </c>
      <c r="C275" s="1196">
        <v>86.27</v>
      </c>
    </row>
    <row r="276" spans="1:3">
      <c r="A276" s="1192" t="s">
        <v>1270</v>
      </c>
      <c r="B276" s="1195">
        <v>56.15</v>
      </c>
      <c r="C276" s="1196">
        <v>41.4</v>
      </c>
    </row>
    <row r="277" spans="1:3">
      <c r="A277" s="1192" t="s">
        <v>1271</v>
      </c>
      <c r="B277" s="1197">
        <v>198.13</v>
      </c>
      <c r="C277" s="1196">
        <v>110.07</v>
      </c>
    </row>
    <row r="278" spans="1:3">
      <c r="A278" s="1192" t="s">
        <v>1272</v>
      </c>
      <c r="B278" s="1195">
        <v>57.31</v>
      </c>
      <c r="C278" s="1196">
        <v>38.21</v>
      </c>
    </row>
    <row r="279" spans="1:3">
      <c r="A279" s="1192" t="s">
        <v>1273</v>
      </c>
      <c r="B279" s="1195">
        <v>29.23</v>
      </c>
      <c r="C279" s="1196">
        <v>25.81</v>
      </c>
    </row>
    <row r="280" spans="1:3">
      <c r="A280" s="1192" t="s">
        <v>1274</v>
      </c>
      <c r="B280" s="1195">
        <v>155.30000000000001</v>
      </c>
      <c r="C280" s="1196">
        <v>87.99</v>
      </c>
    </row>
    <row r="281" spans="1:3">
      <c r="A281" s="1192" t="s">
        <v>1275</v>
      </c>
      <c r="B281" s="1195">
        <v>138.53</v>
      </c>
      <c r="C281" s="1196">
        <v>135.94</v>
      </c>
    </row>
    <row r="282" spans="1:3">
      <c r="A282" s="1192" t="s">
        <v>1276</v>
      </c>
      <c r="B282" s="1195">
        <v>29.65</v>
      </c>
      <c r="C282" s="1196">
        <v>23.3</v>
      </c>
    </row>
    <row r="283" spans="1:3">
      <c r="A283" s="1192" t="s">
        <v>1277</v>
      </c>
      <c r="B283" s="1198">
        <v>0</v>
      </c>
      <c r="C283" s="1196">
        <v>0</v>
      </c>
    </row>
    <row r="284" spans="1:3">
      <c r="A284" s="1192" t="s">
        <v>80</v>
      </c>
      <c r="B284" s="1198">
        <v>0</v>
      </c>
      <c r="C284" s="1196">
        <v>0</v>
      </c>
    </row>
    <row r="285" spans="1:3">
      <c r="A285" s="1192"/>
      <c r="B285" s="1195"/>
      <c r="C285" s="1196"/>
    </row>
    <row r="286" spans="1:3">
      <c r="A286" s="1199" t="s">
        <v>1278</v>
      </c>
      <c r="B286" s="1195"/>
      <c r="C286" s="1196"/>
    </row>
    <row r="287" spans="1:3">
      <c r="A287" s="1192" t="s">
        <v>1279</v>
      </c>
      <c r="B287" s="1195">
        <v>60.56</v>
      </c>
      <c r="C287" s="1196">
        <v>50.84</v>
      </c>
    </row>
    <row r="288" spans="1:3">
      <c r="A288" s="1192" t="s">
        <v>1280</v>
      </c>
      <c r="B288" s="1195">
        <v>135.63999999999999</v>
      </c>
      <c r="C288" s="1196">
        <v>93</v>
      </c>
    </row>
    <row r="289" spans="1:3">
      <c r="A289" s="1192" t="s">
        <v>1281</v>
      </c>
      <c r="B289" s="1195">
        <v>132.44999999999999</v>
      </c>
      <c r="C289" s="1196">
        <v>103.24</v>
      </c>
    </row>
    <row r="290" spans="1:3">
      <c r="A290" s="1192" t="s">
        <v>1282</v>
      </c>
      <c r="B290" s="1195">
        <v>41.62</v>
      </c>
      <c r="C290" s="1196">
        <v>29.77</v>
      </c>
    </row>
    <row r="291" spans="1:3">
      <c r="A291" s="1192" t="s">
        <v>1283</v>
      </c>
      <c r="B291" s="1195">
        <v>0</v>
      </c>
      <c r="C291" s="1196">
        <v>0</v>
      </c>
    </row>
    <row r="292" spans="1:3">
      <c r="A292" s="1192" t="s">
        <v>1284</v>
      </c>
      <c r="B292" s="1195">
        <v>0</v>
      </c>
      <c r="C292" s="1196">
        <v>0</v>
      </c>
    </row>
    <row r="293" spans="1:3">
      <c r="A293" s="762"/>
      <c r="B293" s="762"/>
      <c r="C293" s="762"/>
    </row>
  </sheetData>
  <mergeCells count="18">
    <mergeCell ref="A271:A272"/>
    <mergeCell ref="B271:B272"/>
    <mergeCell ref="C271:C272"/>
    <mergeCell ref="B263:C263"/>
    <mergeCell ref="D263:E263"/>
    <mergeCell ref="B57:C57"/>
    <mergeCell ref="D57:E57"/>
    <mergeCell ref="F57:G57"/>
    <mergeCell ref="A243:C243"/>
    <mergeCell ref="A252:C252"/>
    <mergeCell ref="B205:C205"/>
    <mergeCell ref="D205:E205"/>
    <mergeCell ref="A214:C214"/>
    <mergeCell ref="A223:C223"/>
    <mergeCell ref="B234:C234"/>
    <mergeCell ref="D234:E234"/>
    <mergeCell ref="A185:C185"/>
    <mergeCell ref="A194:C194"/>
  </mergeCells>
  <pageMargins left="0.75" right="0.75" top="1" bottom="1" header="0.5" footer="0.5"/>
  <pageSetup paperSize="9" orientation="portrait" horizontalDpi="4294967292" vertic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F78342C6B6F4D4AA40296F7C5FF931A" ma:contentTypeVersion="0" ma:contentTypeDescription="Create a new document." ma:contentTypeScope="" ma:versionID="6ff3ba9f1590fed661b4cbcd073f0218">
  <xsd:schema xmlns:xsd="http://www.w3.org/2001/XMLSchema" xmlns:xs="http://www.w3.org/2001/XMLSchema" xmlns:p="http://schemas.microsoft.com/office/2006/metadata/properties" xmlns:ns1="http://schemas.microsoft.com/sharepoint/v3" xmlns:ns2="95dab2d2-e7e2-4a56-9461-f3f9d26ba304" targetNamespace="http://schemas.microsoft.com/office/2006/metadata/properties" ma:root="true" ma:fieldsID="c7c6e00ed81b1415e5df3cabf4b29ddb" ns1:_="" ns2:_="">
    <xsd:import namespace="http://schemas.microsoft.com/sharepoint/v3"/>
    <xsd:import namespace="95dab2d2-e7e2-4a56-9461-f3f9d26ba304"/>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12"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5dab2d2-e7e2-4a56-9461-f3f9d26ba30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95dab2d2-e7e2-4a56-9461-f3f9d26ba304">TPSWUC6PS4N2-290-2130</_dlc_DocId>
    <_dlc_DocIdUrl xmlns="95dab2d2-e7e2-4a56-9461-f3f9d26ba304">
      <Url>http://sharepoint/projects/Retirementincomecalculatorrebuild/_layouts/15/DocIdRedir.aspx?ID=TPSWUC6PS4N2-290-2130</Url>
      <Description>TPSWUC6PS4N2-290-2130</Description>
    </_dlc_DocIdUrl>
  </documentManagement>
</p:properties>
</file>

<file path=customXml/itemProps1.xml><?xml version="1.0" encoding="utf-8"?>
<ds:datastoreItem xmlns:ds="http://schemas.openxmlformats.org/officeDocument/2006/customXml" ds:itemID="{70041CE5-A4FD-4688-9D3E-6C2F358B89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5dab2d2-e7e2-4a56-9461-f3f9d26ba3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836A537-BAF5-434B-96CF-0F0170B1D5AB}">
  <ds:schemaRefs>
    <ds:schemaRef ds:uri="http://schemas.microsoft.com/sharepoint/events"/>
  </ds:schemaRefs>
</ds:datastoreItem>
</file>

<file path=customXml/itemProps3.xml><?xml version="1.0" encoding="utf-8"?>
<ds:datastoreItem xmlns:ds="http://schemas.openxmlformats.org/officeDocument/2006/customXml" ds:itemID="{64F21818-7A8A-4551-89C0-8E78CEE86D8A}">
  <ds:schemaRefs>
    <ds:schemaRef ds:uri="http://schemas.microsoft.com/sharepoint/v3/contenttype/forms"/>
  </ds:schemaRefs>
</ds:datastoreItem>
</file>

<file path=customXml/itemProps4.xml><?xml version="1.0" encoding="utf-8"?>
<ds:datastoreItem xmlns:ds="http://schemas.openxmlformats.org/officeDocument/2006/customXml" ds:itemID="{60067AE7-06EB-4855-B1C8-807AF5153B61}">
  <ds:schemaRefs>
    <ds:schemaRef ds:uri="95dab2d2-e7e2-4a56-9461-f3f9d26ba304"/>
    <ds:schemaRef ds:uri="http://www.w3.org/XML/1998/namespace"/>
    <ds:schemaRef ds:uri="http://schemas.microsoft.com/office/infopath/2007/PartnerControls"/>
    <ds:schemaRef ds:uri="http://purl.org/dc/elements/1.1/"/>
    <ds:schemaRef ds:uri="http://schemas.microsoft.com/office/2006/documentManagement/types"/>
    <ds:schemaRef ds:uri="http://purl.org/dc/terms/"/>
    <ds:schemaRef ds:uri="http://schemas.microsoft.com/sharepoint/v3"/>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1310</vt:i4>
      </vt:variant>
    </vt:vector>
  </HeadingPairs>
  <TitlesOfParts>
    <vt:vector size="1329" baseType="lpstr">
      <vt:lpstr>Input</vt:lpstr>
      <vt:lpstr>APC portfolio inputs</vt:lpstr>
      <vt:lpstr>Age Pension Calculator</vt:lpstr>
      <vt:lpstr>Settings</vt:lpstr>
      <vt:lpstr>Regular income pricing</vt:lpstr>
      <vt:lpstr>Spend planner</vt:lpstr>
      <vt:lpstr>Age Pension additional calcs</vt:lpstr>
      <vt:lpstr>Terms of use</vt:lpstr>
      <vt:lpstr>Age Pension report</vt:lpstr>
      <vt:lpstr>New portfolio strategy outline</vt:lpstr>
      <vt:lpstr>Test Sheet</vt:lpstr>
      <vt:lpstr>Term Pricing</vt:lpstr>
      <vt:lpstr>Assumptions</vt:lpstr>
      <vt:lpstr>Deterministic Output</vt:lpstr>
      <vt:lpstr>Deterministic Output VicSup</vt:lpstr>
      <vt:lpstr>Admin Settings</vt:lpstr>
      <vt:lpstr>Projections</vt:lpstr>
      <vt:lpstr>Your case study</vt:lpstr>
      <vt:lpstr>SocialSecuritySettings</vt:lpstr>
      <vt:lpstr>ABPBalancePerson1</vt:lpstr>
      <vt:lpstr>ABPBalancePerson1PortA</vt:lpstr>
      <vt:lpstr>ABPBalancePerson1PortB</vt:lpstr>
      <vt:lpstr>ABPBalancePerson2</vt:lpstr>
      <vt:lpstr>ABPBalancePerson2PortA</vt:lpstr>
      <vt:lpstr>ABPBalancePerson2PortB</vt:lpstr>
      <vt:lpstr>ABPDefensive</vt:lpstr>
      <vt:lpstr>ABPGrandfatheredPaymentPerson1</vt:lpstr>
      <vt:lpstr>ABPGrandfatheredPaymentPerson1PortA</vt:lpstr>
      <vt:lpstr>ABPGrandfatheredPaymentPerson1PortB</vt:lpstr>
      <vt:lpstr>ABPGrandfatheredPaymentPerson2</vt:lpstr>
      <vt:lpstr>ABPGrandfatheredPaymentPerson2PortA</vt:lpstr>
      <vt:lpstr>ABPGrandfatheredPaymentPerson2PortB</vt:lpstr>
      <vt:lpstr>ABPGrandfatheredPerson1</vt:lpstr>
      <vt:lpstr>ABPGrandfatheredPerson1PortA</vt:lpstr>
      <vt:lpstr>ABPGrandfatheredPerson1PortB</vt:lpstr>
      <vt:lpstr>ABPGrandfatheredPerson2</vt:lpstr>
      <vt:lpstr>ABPGrandfatheredPerson2PortA</vt:lpstr>
      <vt:lpstr>ABPGrandfatheredPerson2PortB</vt:lpstr>
      <vt:lpstr>ABPGrandfatheredPPPerson1</vt:lpstr>
      <vt:lpstr>ABPGrandfatheredPPPerson1PortA</vt:lpstr>
      <vt:lpstr>ABPGrandfatheredPPPerson1PortB</vt:lpstr>
      <vt:lpstr>ABPGrandfatheredPPPerson2</vt:lpstr>
      <vt:lpstr>ABPGrandfatheredPPPerson2PortA</vt:lpstr>
      <vt:lpstr>ABPGrandfatheredPPPerson2PortB</vt:lpstr>
      <vt:lpstr>ABPGrowth</vt:lpstr>
      <vt:lpstr>ABPPlatformFee</vt:lpstr>
      <vt:lpstr>ABPRelevantNumberPerson1</vt:lpstr>
      <vt:lpstr>ABPRelevantNumberPerson1PortA</vt:lpstr>
      <vt:lpstr>ABPRelevantNumberPerson1PortB</vt:lpstr>
      <vt:lpstr>ABPRelevantNumberPerson2</vt:lpstr>
      <vt:lpstr>ABPRelevantNumberPerson2PortA</vt:lpstr>
      <vt:lpstr>ABPRelevantNumberPerson2PortB</vt:lpstr>
      <vt:lpstr>ABPReturn</vt:lpstr>
      <vt:lpstr>ABPServiceFee</vt:lpstr>
      <vt:lpstr>ABPServiceFeeIndex</vt:lpstr>
      <vt:lpstr>ABPServiceFeeIndexPortA</vt:lpstr>
      <vt:lpstr>ABPServiceFeeIndexPortB</vt:lpstr>
      <vt:lpstr>ABPServiceFeePortA</vt:lpstr>
      <vt:lpstr>ABPServiceFeePortB</vt:lpstr>
      <vt:lpstr>ABPTotal</vt:lpstr>
      <vt:lpstr>actualAgePens</vt:lpstr>
      <vt:lpstr>actualAgePensMin</vt:lpstr>
      <vt:lpstr>actualEnergySupp</vt:lpstr>
      <vt:lpstr>actualMBR</vt:lpstr>
      <vt:lpstr>actualPensSupp</vt:lpstr>
      <vt:lpstr>AdvisorFee11</vt:lpstr>
      <vt:lpstr>AdvisorFee12</vt:lpstr>
      <vt:lpstr>AdvisorFee13</vt:lpstr>
      <vt:lpstr>AdvisorFee21</vt:lpstr>
      <vt:lpstr>AdvisorFee22</vt:lpstr>
      <vt:lpstr>AdvisorFee23</vt:lpstr>
      <vt:lpstr>AdvisorFeeIndexed</vt:lpstr>
      <vt:lpstr>Input!AdvisorFeeOngoing11</vt:lpstr>
      <vt:lpstr>Input!AdvisorFeeOngoing12</vt:lpstr>
      <vt:lpstr>AdvisorFeeOngoing13</vt:lpstr>
      <vt:lpstr>Input!AdvisorFeeOngoing21</vt:lpstr>
      <vt:lpstr>Input!AdvisorFeeOngoing22</vt:lpstr>
      <vt:lpstr>AdvisorFeeOngoing23</vt:lpstr>
      <vt:lpstr>AdvisorFeeOngoingPercent12</vt:lpstr>
      <vt:lpstr>AdvisorFeeOngoingPercent22</vt:lpstr>
      <vt:lpstr>Input!AdvisorFeeUpfront11</vt:lpstr>
      <vt:lpstr>Input!AdvisorFeeUpfront12</vt:lpstr>
      <vt:lpstr>Input!AdvisorFeeUpfront21</vt:lpstr>
      <vt:lpstr>Input!AdvisorFeeUpfront22</vt:lpstr>
      <vt:lpstr>AdvisorFeeUpfrontPercent12</vt:lpstr>
      <vt:lpstr>AdvisorFeeUpfrontPercent13</vt:lpstr>
      <vt:lpstr>AdvisorFeeUpfrontPercent22</vt:lpstr>
      <vt:lpstr>AdvisorFeeUpfrontPercent23</vt:lpstr>
      <vt:lpstr>AgeQualificationDOBBrackets</vt:lpstr>
      <vt:lpstr>SocialSecuritySettings!AgeQualificationLimits</vt:lpstr>
      <vt:lpstr>ALTTable</vt:lpstr>
      <vt:lpstr>ALTYear</vt:lpstr>
      <vt:lpstr>SocialSecuritySettings!AnnualIncomeLimits</vt:lpstr>
      <vt:lpstr>AnnualisedAWOTE</vt:lpstr>
      <vt:lpstr>'Test Sheet'!AnnualSpend</vt:lpstr>
      <vt:lpstr>Input!AnnuitiesInFee</vt:lpstr>
      <vt:lpstr>AnnuitiesInFeeTerm</vt:lpstr>
      <vt:lpstr>'Test Sheet'!Annuity</vt:lpstr>
      <vt:lpstr>Annuity_BM11</vt:lpstr>
      <vt:lpstr>Annuity_BM12</vt:lpstr>
      <vt:lpstr>Annuity_BM13</vt:lpstr>
      <vt:lpstr>Annuity_BM21</vt:lpstr>
      <vt:lpstr>Annuity_BM22</vt:lpstr>
      <vt:lpstr>Annuity_BM23</vt:lpstr>
      <vt:lpstr>Annuity_GIY11</vt:lpstr>
      <vt:lpstr>Annuity_GIY12</vt:lpstr>
      <vt:lpstr>Annuity_GIY13</vt:lpstr>
      <vt:lpstr>Annuity_GIY21</vt:lpstr>
      <vt:lpstr>Annuity_GIY22</vt:lpstr>
      <vt:lpstr>Annuity_GIY23</vt:lpstr>
      <vt:lpstr>Annuity_PP11</vt:lpstr>
      <vt:lpstr>Annuity_PP12</vt:lpstr>
      <vt:lpstr>Annuity_PP13</vt:lpstr>
      <vt:lpstr>Annuity_PP21</vt:lpstr>
      <vt:lpstr>Annuity_PP22</vt:lpstr>
      <vt:lpstr>Annuity_PP23</vt:lpstr>
      <vt:lpstr>'Test Sheet'!Annuity_type</vt:lpstr>
      <vt:lpstr>Annuity_WG11</vt:lpstr>
      <vt:lpstr>Annuity_WG12</vt:lpstr>
      <vt:lpstr>Annuity_WG13</vt:lpstr>
      <vt:lpstr>Annuity_WG21</vt:lpstr>
      <vt:lpstr>Annuity_WG22</vt:lpstr>
      <vt:lpstr>Annuity_WG23</vt:lpstr>
      <vt:lpstr>AnnuityAssetTest</vt:lpstr>
      <vt:lpstr>AnnuityAssetTest11</vt:lpstr>
      <vt:lpstr>AnnuityAssetTest12</vt:lpstr>
      <vt:lpstr>AnnuityAssetTest13</vt:lpstr>
      <vt:lpstr>AnnuityAssetTest21</vt:lpstr>
      <vt:lpstr>AnnuityAssetTest22</vt:lpstr>
      <vt:lpstr>AnnuityAssetTest23</vt:lpstr>
      <vt:lpstr>AnnuityBM11</vt:lpstr>
      <vt:lpstr>AnnuityBM12</vt:lpstr>
      <vt:lpstr>AnnuityBM13</vt:lpstr>
      <vt:lpstr>AnnuityBM21</vt:lpstr>
      <vt:lpstr>AnnuityBM22</vt:lpstr>
      <vt:lpstr>AnnuityBM23</vt:lpstr>
      <vt:lpstr>AnnuityCPI</vt:lpstr>
      <vt:lpstr>AnnuityDeathCV11</vt:lpstr>
      <vt:lpstr>'Test Sheet'!AnnuityDeathCV12</vt:lpstr>
      <vt:lpstr>AnnuityDeathCV13</vt:lpstr>
      <vt:lpstr>AnnuityDeathCV21</vt:lpstr>
      <vt:lpstr>AnnuityDeathCV22</vt:lpstr>
      <vt:lpstr>AnnuityDeathCV23</vt:lpstr>
      <vt:lpstr>AnnuityDedAmt11</vt:lpstr>
      <vt:lpstr>AnnuityDedAmt12</vt:lpstr>
      <vt:lpstr>AnnuityDedAmt13</vt:lpstr>
      <vt:lpstr>AnnuityDedAmt21</vt:lpstr>
      <vt:lpstr>AnnuityDedAmt22</vt:lpstr>
      <vt:lpstr>AnnuityDedAmt23</vt:lpstr>
      <vt:lpstr>AnnuityDiscountRate11</vt:lpstr>
      <vt:lpstr>AnnuityDiscountRate12</vt:lpstr>
      <vt:lpstr>AnnuityDiscountRate13</vt:lpstr>
      <vt:lpstr>AnnuityDiscountRate21</vt:lpstr>
      <vt:lpstr>AnnuityDiscountRate22</vt:lpstr>
      <vt:lpstr>AnnuityDiscountRate23</vt:lpstr>
      <vt:lpstr>AnnuityIncomeTest</vt:lpstr>
      <vt:lpstr>AnnuityIncTest11</vt:lpstr>
      <vt:lpstr>'Test Sheet'!AnnuityIncTest12</vt:lpstr>
      <vt:lpstr>AnnuityIncTest13</vt:lpstr>
      <vt:lpstr>AnnuityIncTest21</vt:lpstr>
      <vt:lpstr>AnnuityIncTest22</vt:lpstr>
      <vt:lpstr>AnnuityIncTest23</vt:lpstr>
      <vt:lpstr>Input!AnnuityIndexation11</vt:lpstr>
      <vt:lpstr>'Test Sheet'!AnnuityIndexation11</vt:lpstr>
      <vt:lpstr>Input!AnnuityIndexation12</vt:lpstr>
      <vt:lpstr>'Test Sheet'!AnnuityIndexation12</vt:lpstr>
      <vt:lpstr>'Test Sheet'!AnnuityIndexation13</vt:lpstr>
      <vt:lpstr>AnnuityIndexation13</vt:lpstr>
      <vt:lpstr>Input!AnnuityIndexation21</vt:lpstr>
      <vt:lpstr>AnnuityIndexation21</vt:lpstr>
      <vt:lpstr>Input!AnnuityIndexation22</vt:lpstr>
      <vt:lpstr>AnnuityIndexation22</vt:lpstr>
      <vt:lpstr>'Test Sheet'!AnnuityIndexation23</vt:lpstr>
      <vt:lpstr>AnnuityIndexation23</vt:lpstr>
      <vt:lpstr>AnnuityInitialPayment11</vt:lpstr>
      <vt:lpstr>AnnuityInitialPayment12</vt:lpstr>
      <vt:lpstr>AnnuityInitialPayment13</vt:lpstr>
      <vt:lpstr>AnnuityInitialPayment21</vt:lpstr>
      <vt:lpstr>AnnuityInitialPayment22</vt:lpstr>
      <vt:lpstr>AnnuityInitialPayment23</vt:lpstr>
      <vt:lpstr>AnnuityLinearCV11</vt:lpstr>
      <vt:lpstr>AnnuityLinearCV12</vt:lpstr>
      <vt:lpstr>AnnuityLinearCV13</vt:lpstr>
      <vt:lpstr>AnnuityLinearCV21</vt:lpstr>
      <vt:lpstr>AnnuityLinearCV22</vt:lpstr>
      <vt:lpstr>AnnuityLinearCV23</vt:lpstr>
      <vt:lpstr>AnnuityLiquidityOption11</vt:lpstr>
      <vt:lpstr>AnnuityLiquidityOption21</vt:lpstr>
      <vt:lpstr>AnnuityMinCV11</vt:lpstr>
      <vt:lpstr>AnnuityMinCV12</vt:lpstr>
      <vt:lpstr>AnnuityMinCV13</vt:lpstr>
      <vt:lpstr>AnnuityMinCV21</vt:lpstr>
      <vt:lpstr>AnnuityMinCV22</vt:lpstr>
      <vt:lpstr>AnnuityMinCV23</vt:lpstr>
      <vt:lpstr>AnnuityMoney</vt:lpstr>
      <vt:lpstr>AnnuityNominalDiscountRate11</vt:lpstr>
      <vt:lpstr>AnnuityNominalDiscountRate12</vt:lpstr>
      <vt:lpstr>AnnuityNominalDiscountRate13</vt:lpstr>
      <vt:lpstr>AnnuityNominalDiscountRate21</vt:lpstr>
      <vt:lpstr>AnnuityNominalDiscountRate22</vt:lpstr>
      <vt:lpstr>AnnuityNominalDiscountRate23</vt:lpstr>
      <vt:lpstr>AnnuityPayment11</vt:lpstr>
      <vt:lpstr>AnnuityPayment12</vt:lpstr>
      <vt:lpstr>AnnuityPayment13</vt:lpstr>
      <vt:lpstr>AnnuityPayment21</vt:lpstr>
      <vt:lpstr>AnnuityPayment22</vt:lpstr>
      <vt:lpstr>AnnuityPayment23</vt:lpstr>
      <vt:lpstr>AnnuityPlatformFee</vt:lpstr>
      <vt:lpstr>Input!AnnuityPmt11</vt:lpstr>
      <vt:lpstr>Input!AnnuityPmt12</vt:lpstr>
      <vt:lpstr>AnnuityPmt13</vt:lpstr>
      <vt:lpstr>Input!AnnuityPmt21</vt:lpstr>
      <vt:lpstr>Input!AnnuityPmt22</vt:lpstr>
      <vt:lpstr>AnnuityPmt23</vt:lpstr>
      <vt:lpstr>Input!AnnuityPP11</vt:lpstr>
      <vt:lpstr>Input!AnnuityPP12</vt:lpstr>
      <vt:lpstr>AnnuityPP13</vt:lpstr>
      <vt:lpstr>Input!AnnuityPP21</vt:lpstr>
      <vt:lpstr>Input!AnnuityPP22</vt:lpstr>
      <vt:lpstr>AnnuityPP23</vt:lpstr>
      <vt:lpstr>AnnuityPVCurrent11</vt:lpstr>
      <vt:lpstr>AnnuityPVCurrent12</vt:lpstr>
      <vt:lpstr>AnnuityPVCurrent13</vt:lpstr>
      <vt:lpstr>AnnuityPVCurrent21</vt:lpstr>
      <vt:lpstr>AnnuityPVCurrent22</vt:lpstr>
      <vt:lpstr>AnnuityPVCurrent23</vt:lpstr>
      <vt:lpstr>AnnuityPVIRR11</vt:lpstr>
      <vt:lpstr>AnnuityPVIRR12</vt:lpstr>
      <vt:lpstr>AnnuityPVIRR13</vt:lpstr>
      <vt:lpstr>AnnuityPVIRR21</vt:lpstr>
      <vt:lpstr>AnnuityPVIRR22</vt:lpstr>
      <vt:lpstr>AnnuityPVIRR23</vt:lpstr>
      <vt:lpstr>Input!AnnuityReversion11</vt:lpstr>
      <vt:lpstr>Input!AnnuityReversion12</vt:lpstr>
      <vt:lpstr>AnnuityReversion13</vt:lpstr>
      <vt:lpstr>Input!AnnuityReversion21</vt:lpstr>
      <vt:lpstr>Input!AnnuityReversion22</vt:lpstr>
      <vt:lpstr>AnnuityReversion23</vt:lpstr>
      <vt:lpstr>'Test Sheet'!AnnuityRN11</vt:lpstr>
      <vt:lpstr>'Test Sheet'!AnnuityRN12</vt:lpstr>
      <vt:lpstr>AnnuityRN13</vt:lpstr>
      <vt:lpstr>'Test Sheet'!AnnuityRN21</vt:lpstr>
      <vt:lpstr>'Test Sheet'!AnnuityRN22</vt:lpstr>
      <vt:lpstr>AnnuityRN23</vt:lpstr>
      <vt:lpstr>Input!annuityType11</vt:lpstr>
      <vt:lpstr>AnnuityType11</vt:lpstr>
      <vt:lpstr>Input!annuityType12</vt:lpstr>
      <vt:lpstr>AnnuityType12</vt:lpstr>
      <vt:lpstr>'Test Sheet'!AnnuityType13</vt:lpstr>
      <vt:lpstr>annuityType13</vt:lpstr>
      <vt:lpstr>Input!annuityType21</vt:lpstr>
      <vt:lpstr>AnnuityType21</vt:lpstr>
      <vt:lpstr>Input!annuityType22</vt:lpstr>
      <vt:lpstr>AnnuityType22</vt:lpstr>
      <vt:lpstr>'Test Sheet'!AnnuityType23</vt:lpstr>
      <vt:lpstr>annuityType23</vt:lpstr>
      <vt:lpstr>AnnuityVal</vt:lpstr>
      <vt:lpstr>AnnuityVolCV11</vt:lpstr>
      <vt:lpstr>'Test Sheet'!AnnuityVolCV12</vt:lpstr>
      <vt:lpstr>AnnuityVolCV13</vt:lpstr>
      <vt:lpstr>AnnuityVolCV21</vt:lpstr>
      <vt:lpstr>AnnuityVolCV22</vt:lpstr>
      <vt:lpstr>AnnuityVolCV23</vt:lpstr>
      <vt:lpstr>APCAdviserName</vt:lpstr>
      <vt:lpstr>APCAnnuityAllocation</vt:lpstr>
      <vt:lpstr>APCAnnuityPortfolioPerc</vt:lpstr>
      <vt:lpstr>APCAssessableAssets</vt:lpstr>
      <vt:lpstr>APCCashFlowDifferenceFD</vt:lpstr>
      <vt:lpstr>APCClientName</vt:lpstr>
      <vt:lpstr>APCDefensive</vt:lpstr>
      <vt:lpstr>APCEmploymentIncomePerson1</vt:lpstr>
      <vt:lpstr>APCEmploymentIncomePerson2</vt:lpstr>
      <vt:lpstr>APCExistingABPP1</vt:lpstr>
      <vt:lpstr>APCExistingABPP2</vt:lpstr>
      <vt:lpstr>APCExsistingDSSTypeP1</vt:lpstr>
      <vt:lpstr>APCExsistingDSSTypeP2</vt:lpstr>
      <vt:lpstr>APCExsistingPurchasePriceP1</vt:lpstr>
      <vt:lpstr>APCExsistingPurchasePriceP2</vt:lpstr>
      <vt:lpstr>APCExsistingRelevantNumberP1</vt:lpstr>
      <vt:lpstr>APCExsistingRelevantNumberP2</vt:lpstr>
      <vt:lpstr>APCGrowth</vt:lpstr>
      <vt:lpstr>APCHomeownerStatus</vt:lpstr>
      <vt:lpstr>APCNonSuperDeemed</vt:lpstr>
      <vt:lpstr>APCOtherIncome</vt:lpstr>
      <vt:lpstr>APCPensionBoostFD</vt:lpstr>
      <vt:lpstr>APCPerson1DOB</vt:lpstr>
      <vt:lpstr>APCPerson1Sex</vt:lpstr>
      <vt:lpstr>APCPerson2DOB</vt:lpstr>
      <vt:lpstr>APCPerson2Sex</vt:lpstr>
      <vt:lpstr>APCPersonalAssets</vt:lpstr>
      <vt:lpstr>APCPortfolioValueDifferenceFD</vt:lpstr>
      <vt:lpstr>APCProperty</vt:lpstr>
      <vt:lpstr>APCRent</vt:lpstr>
      <vt:lpstr>APCRequiredIncome</vt:lpstr>
      <vt:lpstr>APCYearsOfEmploymentPerson1</vt:lpstr>
      <vt:lpstr>APCYearsOfEmploymentPerson2</vt:lpstr>
      <vt:lpstr>ApportionedEntitlement</vt:lpstr>
      <vt:lpstr>'Deterministic Output VicSup'!AssessableAssets</vt:lpstr>
      <vt:lpstr>'Test Sheet'!AssessableAssets</vt:lpstr>
      <vt:lpstr>AssessableAssets</vt:lpstr>
      <vt:lpstr>'Deterministic Output VicSup'!AssessableIncome</vt:lpstr>
      <vt:lpstr>'Test Sheet'!AssessableIncome</vt:lpstr>
      <vt:lpstr>AssessableIncome</vt:lpstr>
      <vt:lpstr>AssetBrackets</vt:lpstr>
      <vt:lpstr>'Test Sheet'!AssetTest</vt:lpstr>
      <vt:lpstr>AssetTestBrackets</vt:lpstr>
      <vt:lpstr>SocialSecuritySettings!AssetTestLimits</vt:lpstr>
      <vt:lpstr>AssetTestLower</vt:lpstr>
      <vt:lpstr>AssetTestTaperRate</vt:lpstr>
      <vt:lpstr>Input!AWOTE</vt:lpstr>
      <vt:lpstr>'Test Sheet'!AWOTE</vt:lpstr>
      <vt:lpstr>AWOTEAmount</vt:lpstr>
      <vt:lpstr>AWOTEBenchmark</vt:lpstr>
      <vt:lpstr>AWOTEInflator</vt:lpstr>
      <vt:lpstr>AWOTEPercentage</vt:lpstr>
      <vt:lpstr>'Test Sheet'!Balance11</vt:lpstr>
      <vt:lpstr>'Test Sheet'!Balance21</vt:lpstr>
      <vt:lpstr>BondYield11</vt:lpstr>
      <vt:lpstr>BondYield22</vt:lpstr>
      <vt:lpstr>CashDrawings</vt:lpstr>
      <vt:lpstr>CashGrowth</vt:lpstr>
      <vt:lpstr>CashRate</vt:lpstr>
      <vt:lpstr>'Test Sheet'!CentrelinkPmt</vt:lpstr>
      <vt:lpstr>CentrelinkRates</vt:lpstr>
      <vt:lpstr>CGFLifeAdminFee</vt:lpstr>
      <vt:lpstr>CGFTermAdminFee</vt:lpstr>
      <vt:lpstr>ChalLLAnnuityPerson1</vt:lpstr>
      <vt:lpstr>ChalLLAnnuityPerson2</vt:lpstr>
      <vt:lpstr>ChalLLFrequencyPerson1</vt:lpstr>
      <vt:lpstr>ChalLLFrequencyPerson1PortA</vt:lpstr>
      <vt:lpstr>ChalLLFrequencyPerson1PortB</vt:lpstr>
      <vt:lpstr>ChalLLFrequencyPerson2</vt:lpstr>
      <vt:lpstr>ChalLLFrequencyPerson2PortA</vt:lpstr>
      <vt:lpstr>ChalLLFrequencyPerson2PortB</vt:lpstr>
      <vt:lpstr>ChalLLIndexationPerson1</vt:lpstr>
      <vt:lpstr>ChalLLIndexationPerson1PortA</vt:lpstr>
      <vt:lpstr>ChalLLIndexationPerson1PortB</vt:lpstr>
      <vt:lpstr>ChalLLIndexationPerson2</vt:lpstr>
      <vt:lpstr>ChalLLIndexationPerson2PortA</vt:lpstr>
      <vt:lpstr>ChalLLIndexationPerson2PortB</vt:lpstr>
      <vt:lpstr>ChalLLiquidityOptionPerson1</vt:lpstr>
      <vt:lpstr>ChalLLiquidityOptionPerson1PortA</vt:lpstr>
      <vt:lpstr>ChalLLiquidityOptionPerson1PortB</vt:lpstr>
      <vt:lpstr>ChalLLiquidityOptionPerson2</vt:lpstr>
      <vt:lpstr>ChalLLiquidityOptionPerson2PortA</vt:lpstr>
      <vt:lpstr>ChalLLiquidityOptionPerson2PortB</vt:lpstr>
      <vt:lpstr>ChalLLOngoingASFPerson1</vt:lpstr>
      <vt:lpstr>ChalLLOngoingASFPerson1PortA</vt:lpstr>
      <vt:lpstr>ChalLLOngoingASFPerson1PortB</vt:lpstr>
      <vt:lpstr>ChalLLOngoingASFPerson2</vt:lpstr>
      <vt:lpstr>ChalLLOngoingASFPerson2PortA</vt:lpstr>
      <vt:lpstr>ChalLLOngoingASFPerson2PortB</vt:lpstr>
      <vt:lpstr>ChalLLPaymentPerson1</vt:lpstr>
      <vt:lpstr>ChalLLPaymentPerson1PortA</vt:lpstr>
      <vt:lpstr>ChalLLPaymentPerson1PortB</vt:lpstr>
      <vt:lpstr>ChalLLPaymentPerson2</vt:lpstr>
      <vt:lpstr>ChalLLPaymentPerson2PortA</vt:lpstr>
      <vt:lpstr>ChalLLPaymentPerson2PortB</vt:lpstr>
      <vt:lpstr>ChalLLPurchasePricePerson1</vt:lpstr>
      <vt:lpstr>ChalLLPurchasePricePerson1PortA</vt:lpstr>
      <vt:lpstr>ChalLLPurchasePricePerson1PortB</vt:lpstr>
      <vt:lpstr>ChalLLPurchasePricePerson2</vt:lpstr>
      <vt:lpstr>ChalLLPurchasePricePerson2PortA</vt:lpstr>
      <vt:lpstr>ChalLLPurchasePricePerson2PortB</vt:lpstr>
      <vt:lpstr>ChalLLReversionaryPerson1</vt:lpstr>
      <vt:lpstr>ChalLLReversionaryPerson1PortA</vt:lpstr>
      <vt:lpstr>ChalLLReversionaryPerson1PortB</vt:lpstr>
      <vt:lpstr>ChalLLReversionaryPerson2</vt:lpstr>
      <vt:lpstr>ChalLLReversionaryPerson2PortA</vt:lpstr>
      <vt:lpstr>ChalLLReversionaryPerson2PortB</vt:lpstr>
      <vt:lpstr>ChalLLUpfrontASFPerson1</vt:lpstr>
      <vt:lpstr>ChalLLUpfrontASFPerson1PortA</vt:lpstr>
      <vt:lpstr>ChalLLUpfrontASFPerson1PortB</vt:lpstr>
      <vt:lpstr>ChalLLUpfrontASFPerson2</vt:lpstr>
      <vt:lpstr>ChalLLUpfrontASFPerson2PortA</vt:lpstr>
      <vt:lpstr>ChalLLUpfrontASFPerson2PortB</vt:lpstr>
      <vt:lpstr>ChalLLWithdrawalGteePerson1</vt:lpstr>
      <vt:lpstr>ChalLLWithdrawalGteePerson1PortA</vt:lpstr>
      <vt:lpstr>ChalLLWithdrawalGteePerson1PortB</vt:lpstr>
      <vt:lpstr>ChalLLWithdrawalGteePerson2</vt:lpstr>
      <vt:lpstr>ChalLLWithdrawalGteePerson2PortA</vt:lpstr>
      <vt:lpstr>ChalLLWithdrawalGteePerson2PortB</vt:lpstr>
      <vt:lpstr>ChalLLWithdrawalPeriodPerson1</vt:lpstr>
      <vt:lpstr>ChalLLWithdrawalPeriodPerson1PortA</vt:lpstr>
      <vt:lpstr>ChalLLWithdrawalPeriodPerson1PortB</vt:lpstr>
      <vt:lpstr>ChalLLWithdrawalPeriodPerson2</vt:lpstr>
      <vt:lpstr>ChalLLWithdrawalPeriodPerson2PortA</vt:lpstr>
      <vt:lpstr>ChalLLWithdrawalPeriodPerson2PortB</vt:lpstr>
      <vt:lpstr>ChalTermAGERPerson1</vt:lpstr>
      <vt:lpstr>ChalTermAGERPerson1PortA</vt:lpstr>
      <vt:lpstr>ChalTermAGERPerson1PortB</vt:lpstr>
      <vt:lpstr>ChalTermAGERPerson2</vt:lpstr>
      <vt:lpstr>ChalTermAGERPerson2PortA</vt:lpstr>
      <vt:lpstr>ChalTermAGERPerson2PortB</vt:lpstr>
      <vt:lpstr>ChalTermFrequencyPerson1</vt:lpstr>
      <vt:lpstr>ChalTermFrequencyPerson1PortA</vt:lpstr>
      <vt:lpstr>ChalTermFrequencyPerson1PortB</vt:lpstr>
      <vt:lpstr>ChalTermFrequencyPerson2</vt:lpstr>
      <vt:lpstr>ChalTermFrequencyPerson2PortA</vt:lpstr>
      <vt:lpstr>ChalTermFrequencyPerson2PortB</vt:lpstr>
      <vt:lpstr>ChalTermIndexationPerson1</vt:lpstr>
      <vt:lpstr>ChalTermIndexationPerson1PortA</vt:lpstr>
      <vt:lpstr>ChalTermIndexationPerson1PortB</vt:lpstr>
      <vt:lpstr>ChalTermIndexationPerson2</vt:lpstr>
      <vt:lpstr>ChalTermIndexationPerson2PortA</vt:lpstr>
      <vt:lpstr>ChalTermIndexationPerson2PortB</vt:lpstr>
      <vt:lpstr>ChalTermOngoingASFPerson1</vt:lpstr>
      <vt:lpstr>ChalTermOngoingASFPerson1PortA</vt:lpstr>
      <vt:lpstr>ChalTermOngoingASFPerson1PortB</vt:lpstr>
      <vt:lpstr>ChalTermOngoingASFPerson2</vt:lpstr>
      <vt:lpstr>ChalTermOngoingASFPerson2PortA</vt:lpstr>
      <vt:lpstr>ChalTermOngoingASFPerson2PortB</vt:lpstr>
      <vt:lpstr>ChalTermPaymentPerson1</vt:lpstr>
      <vt:lpstr>ChalTermPaymentPerson1PortA</vt:lpstr>
      <vt:lpstr>ChalTermPaymentPerson1PortB</vt:lpstr>
      <vt:lpstr>ChalTermPaymentPerson2</vt:lpstr>
      <vt:lpstr>ChalTermPaymentPerson2PortA</vt:lpstr>
      <vt:lpstr>ChalTermPaymentPerson2PortB</vt:lpstr>
      <vt:lpstr>ChalTermPurchasePricePerson1</vt:lpstr>
      <vt:lpstr>ChalTermPurchasePricePerson1PortA</vt:lpstr>
      <vt:lpstr>ChalTermPurchasePricePerson1PortB</vt:lpstr>
      <vt:lpstr>ChalTermPurchasePricePerson2</vt:lpstr>
      <vt:lpstr>ChalTermPurchasePricePerson2PortA</vt:lpstr>
      <vt:lpstr>ChalTermPurchasePricePerson2PortB</vt:lpstr>
      <vt:lpstr>ChalTermRCVPerson1</vt:lpstr>
      <vt:lpstr>ChalTermRCVPerson1PortA</vt:lpstr>
      <vt:lpstr>ChalTermRCVPerson1PortB</vt:lpstr>
      <vt:lpstr>ChalTermRCVPerson2</vt:lpstr>
      <vt:lpstr>ChalTermRCVPerson2PortA</vt:lpstr>
      <vt:lpstr>ChalTermRCVPerson2PortB</vt:lpstr>
      <vt:lpstr>ChalTermReversionaryPerson1</vt:lpstr>
      <vt:lpstr>ChalTermReversionaryPerson1PortA</vt:lpstr>
      <vt:lpstr>ChalTermReversionaryPerson1PortB</vt:lpstr>
      <vt:lpstr>ChalTermReversionaryPerson2</vt:lpstr>
      <vt:lpstr>ChalTermReversionaryPerson2PortA</vt:lpstr>
      <vt:lpstr>ChalTermReversionaryPerson2PortB</vt:lpstr>
      <vt:lpstr>ChalTermTermPerson1</vt:lpstr>
      <vt:lpstr>ChalTermTermPerson1PortA</vt:lpstr>
      <vt:lpstr>ChalTermTermPerson1PortB</vt:lpstr>
      <vt:lpstr>ChalTermTermPerson2</vt:lpstr>
      <vt:lpstr>ChalTermTermPerson2PortA</vt:lpstr>
      <vt:lpstr>ChalTermTermPerson2PortB</vt:lpstr>
      <vt:lpstr>ChalTermUpfrontASFPerson1</vt:lpstr>
      <vt:lpstr>ChalTermUpfrontASFPerson1PortA</vt:lpstr>
      <vt:lpstr>ChalTermUpfrontASFPerson1PortB</vt:lpstr>
      <vt:lpstr>ChalTermUpfrontASFPerson2</vt:lpstr>
      <vt:lpstr>ChalTermUpfrontASFPerson2PortA</vt:lpstr>
      <vt:lpstr>ChalTermUpfrontASFPerson2PortB</vt:lpstr>
      <vt:lpstr>ChartOutputs</vt:lpstr>
      <vt:lpstr>CILifetimeFrequencyPerson1</vt:lpstr>
      <vt:lpstr>CILifetimeFrequencyPerson1PortA</vt:lpstr>
      <vt:lpstr>CILifetimeFrequencyPerson1PortB</vt:lpstr>
      <vt:lpstr>CILifetimeFrequencyPerson2</vt:lpstr>
      <vt:lpstr>CILifetimeFrequencyPerson2PortA</vt:lpstr>
      <vt:lpstr>CILifetimeFrequencyPerson2PortB</vt:lpstr>
      <vt:lpstr>CILifetimeIndexationPerson1</vt:lpstr>
      <vt:lpstr>CILifetimeIndexationPerson1PortA</vt:lpstr>
      <vt:lpstr>CILifetimeIndexationPerson1PortB</vt:lpstr>
      <vt:lpstr>CILIfetimeIndexationPerson2</vt:lpstr>
      <vt:lpstr>CILIfetimeIndexationPerson2PortA</vt:lpstr>
      <vt:lpstr>CILifetimeIndexationPerson2PortB</vt:lpstr>
      <vt:lpstr>CILifetimeOASFDolPerson1</vt:lpstr>
      <vt:lpstr>CILifetimeOASFDolPerson1PortA</vt:lpstr>
      <vt:lpstr>CILifetimeOASFDolPerson1PortB</vt:lpstr>
      <vt:lpstr>CILifetimeOASFDolPerson2</vt:lpstr>
      <vt:lpstr>CILifetimeOASFDolPerson2PortA</vt:lpstr>
      <vt:lpstr>CILifetimeOASFDolPerson2PortB</vt:lpstr>
      <vt:lpstr>CILifetimeOASFPercPerson1</vt:lpstr>
      <vt:lpstr>CILifetimeOASFPercPerson1PortA</vt:lpstr>
      <vt:lpstr>CILifetimeOASFPercPerson1PortB</vt:lpstr>
      <vt:lpstr>CILifetimeOASFPercPerson2</vt:lpstr>
      <vt:lpstr>CILifetimeOASFPercPerson2PortA</vt:lpstr>
      <vt:lpstr>CILifetimeOASFPercPerson2PortB</vt:lpstr>
      <vt:lpstr>CILifetimeOASFPerson1PortA</vt:lpstr>
      <vt:lpstr>CILifetimePaymentPeriodPerson1</vt:lpstr>
      <vt:lpstr>CILifetimePaymentPeriodPerson1PortA</vt:lpstr>
      <vt:lpstr>CILifetimePaymentPeriodPerson1PortB</vt:lpstr>
      <vt:lpstr>CILifetimePaymentPeriodPerson2</vt:lpstr>
      <vt:lpstr>CILifetimePaymentPeriodPerson2PortA</vt:lpstr>
      <vt:lpstr>CILifetimePaymentPeriodPerson2PortB</vt:lpstr>
      <vt:lpstr>CILifetimePaymentPerson1</vt:lpstr>
      <vt:lpstr>CILifetimePaymentPerson1PortA</vt:lpstr>
      <vt:lpstr>CILifetimePaymentPerson1PortB</vt:lpstr>
      <vt:lpstr>CILifetimePaymentPerson2</vt:lpstr>
      <vt:lpstr>CILifetimePaymentPerson2PortA</vt:lpstr>
      <vt:lpstr>CILifetimePaymentPerson2PortB</vt:lpstr>
      <vt:lpstr>CILifetimePurchasePricePerson1</vt:lpstr>
      <vt:lpstr>CILifetimePurchasePricePerson1PortA</vt:lpstr>
      <vt:lpstr>CILifetimePurchasePricePerson1PortB</vt:lpstr>
      <vt:lpstr>CILifetimePurchasePricePerson2</vt:lpstr>
      <vt:lpstr>CILifetimePurchasePricePerson2PortA</vt:lpstr>
      <vt:lpstr>CILifetimePurchasePricePerson2PortB</vt:lpstr>
      <vt:lpstr>CILifetimeReversionaryPerson1</vt:lpstr>
      <vt:lpstr>CILifetimeReversionaryPerson1PortA</vt:lpstr>
      <vt:lpstr>CILifetimeReversionaryPerson1PortB</vt:lpstr>
      <vt:lpstr>CILifetimeReversionaryPerson2</vt:lpstr>
      <vt:lpstr>CILifetimeReversionaryPerson2PortA</vt:lpstr>
      <vt:lpstr>CILifetimeReversionaryPerson2PortB</vt:lpstr>
      <vt:lpstr>CILifetimeUASFDolPerson1</vt:lpstr>
      <vt:lpstr>CILifetimeUASFDolPerson1PortA</vt:lpstr>
      <vt:lpstr>CILifetimeUASFDolPerson1PortB</vt:lpstr>
      <vt:lpstr>CILifetimeUASFDolPerson2</vt:lpstr>
      <vt:lpstr>CILifetimeUASFDolPerson2PortA</vt:lpstr>
      <vt:lpstr>CILIfetimeUASFDolPerson2PortB</vt:lpstr>
      <vt:lpstr>CILifetimeUASFPercPerson1</vt:lpstr>
      <vt:lpstr>CILifetimeUASFPercPerson1PortA</vt:lpstr>
      <vt:lpstr>CILifetimeUASFPercPerson1PortB</vt:lpstr>
      <vt:lpstr>CILifetimeUASFPercPerson2</vt:lpstr>
      <vt:lpstr>CILifetimeUASFPercPerson2PortA</vt:lpstr>
      <vt:lpstr>CILifetimeUASFPercPerson2PortB</vt:lpstr>
      <vt:lpstr>CITermAGERPerson1</vt:lpstr>
      <vt:lpstr>CITermAGERPerson1PortA</vt:lpstr>
      <vt:lpstr>CITermAGERPerson1PortB</vt:lpstr>
      <vt:lpstr>CITermAGERPerson2</vt:lpstr>
      <vt:lpstr>CITermAGERPerson2PortA</vt:lpstr>
      <vt:lpstr>CITermAGERPerson2PortB</vt:lpstr>
      <vt:lpstr>CITermFrequencyPerson1</vt:lpstr>
      <vt:lpstr>CITermFrequencyPerson1PortA</vt:lpstr>
      <vt:lpstr>CITermFrequencyPerson1PortB</vt:lpstr>
      <vt:lpstr>CITermFrequencyPerson2</vt:lpstr>
      <vt:lpstr>CITermFrequencyPerson2PortA</vt:lpstr>
      <vt:lpstr>CITermFrequencyPerson2PortB</vt:lpstr>
      <vt:lpstr>CITermIndexationPerson1</vt:lpstr>
      <vt:lpstr>CITermIndexationPerson1PortA</vt:lpstr>
      <vt:lpstr>CITermIndexationPerson1PortB</vt:lpstr>
      <vt:lpstr>CITermIndexationPerson2</vt:lpstr>
      <vt:lpstr>CITermIndexationPerson2PortA</vt:lpstr>
      <vt:lpstr>CITermIndexationPerson2PortB</vt:lpstr>
      <vt:lpstr>CITermOngoingASFDolPerson1</vt:lpstr>
      <vt:lpstr>CITermOngoingASFDolPerson1PortA</vt:lpstr>
      <vt:lpstr>CITermOngoingASFDolPerson1PortB</vt:lpstr>
      <vt:lpstr>CITermOngoingASFDolPerson2</vt:lpstr>
      <vt:lpstr>CITermOngoingASFDolPerson2PortA</vt:lpstr>
      <vt:lpstr>CITermOngoingASFDolPerson2PortB</vt:lpstr>
      <vt:lpstr>CITermOngoingASFPercPerson1</vt:lpstr>
      <vt:lpstr>CITermOngoingASFPercPerson1PortA</vt:lpstr>
      <vt:lpstr>CITermOngoingASFPercPerson1PortB</vt:lpstr>
      <vt:lpstr>CITermOngoingASFPercPerson2</vt:lpstr>
      <vt:lpstr>CITermOngoingASFPercPerson2PortA</vt:lpstr>
      <vt:lpstr>CITermOngoingASFPercPerson2PortB</vt:lpstr>
      <vt:lpstr>CITermPaymentPerson1</vt:lpstr>
      <vt:lpstr>CITermPaymentPerson1PortA</vt:lpstr>
      <vt:lpstr>CITermPaymentPerson1PortB</vt:lpstr>
      <vt:lpstr>CITermPaymentPerson2</vt:lpstr>
      <vt:lpstr>CITermPaymentPerson2PortA</vt:lpstr>
      <vt:lpstr>CITermPaymentPerson2PortB</vt:lpstr>
      <vt:lpstr>CITermPurchasePricePerson1</vt:lpstr>
      <vt:lpstr>CITermPurchasePricePerson1PortA</vt:lpstr>
      <vt:lpstr>CITermPurchasePricePerson1PortB</vt:lpstr>
      <vt:lpstr>CITermPurchasePricePerson2</vt:lpstr>
      <vt:lpstr>CITermPurchasePricePerson2PortA</vt:lpstr>
      <vt:lpstr>CiTermPurchasePricePerson2PortB</vt:lpstr>
      <vt:lpstr>CITermRCVPerson1</vt:lpstr>
      <vt:lpstr>CITermRCVPerson1PortA</vt:lpstr>
      <vt:lpstr>CITermRCVPerson1PortB</vt:lpstr>
      <vt:lpstr>CITermRCVPerson2</vt:lpstr>
      <vt:lpstr>CITermRCVPerson2PortA</vt:lpstr>
      <vt:lpstr>CITermRCVPerson2PortB</vt:lpstr>
      <vt:lpstr>CITermReversionaryPerson1</vt:lpstr>
      <vt:lpstr>CITermReversionaryPerson1PortA</vt:lpstr>
      <vt:lpstr>CITermReversionaryPerson1PortB</vt:lpstr>
      <vt:lpstr>CITermReversionaryPerson2</vt:lpstr>
      <vt:lpstr>CITermReversionaryPerson2PortA</vt:lpstr>
      <vt:lpstr>CITermReversionaryPerson2PortB</vt:lpstr>
      <vt:lpstr>CITermTermPerson1</vt:lpstr>
      <vt:lpstr>CITermTermPerson1PortA</vt:lpstr>
      <vt:lpstr>CITermTermPerson1PortB</vt:lpstr>
      <vt:lpstr>CITermTermPerson2</vt:lpstr>
      <vt:lpstr>CITermTermPerson2PortA</vt:lpstr>
      <vt:lpstr>CITermTermPerson2PortB</vt:lpstr>
      <vt:lpstr>CITermUpfrontASFDolPerson1</vt:lpstr>
      <vt:lpstr>CITermUpfrontASFDolPerson1PortA</vt:lpstr>
      <vt:lpstr>CITermUpfrontASFDolPerson1PortB</vt:lpstr>
      <vt:lpstr>CITermUpfrontASFDolPerson2</vt:lpstr>
      <vt:lpstr>CITermUpfrontASFDolPerson2PortA</vt:lpstr>
      <vt:lpstr>CITermUpfrontASFDolPerson2PortB</vt:lpstr>
      <vt:lpstr>CITermUpfrontASFPercPerson1</vt:lpstr>
      <vt:lpstr>CITermUpfrontASFPercPerson1PortA</vt:lpstr>
      <vt:lpstr>CITermUpfrontASFPercPerson1PortB</vt:lpstr>
      <vt:lpstr>CITermUpfrontASFPercPerson2</vt:lpstr>
      <vt:lpstr>CITermUpfrontASFPercPerson2PortA</vt:lpstr>
      <vt:lpstr>CITermUpfrontASFPercPerson2PortB</vt:lpstr>
      <vt:lpstr>CombinedTaxableIncomeP1</vt:lpstr>
      <vt:lpstr>CombinedTaxableIncomeP2</vt:lpstr>
      <vt:lpstr>Input!commInsure11</vt:lpstr>
      <vt:lpstr>Input!commInsure12</vt:lpstr>
      <vt:lpstr>Input!commInsure21</vt:lpstr>
      <vt:lpstr>Input!commInsure22</vt:lpstr>
      <vt:lpstr>Input!commInsureGP12</vt:lpstr>
      <vt:lpstr>Input!commInsureGP22</vt:lpstr>
      <vt:lpstr>ComminsureLifeAdminFee</vt:lpstr>
      <vt:lpstr>ComminsureTermAdminFee</vt:lpstr>
      <vt:lpstr>'Test Sheet'!Couple?</vt:lpstr>
      <vt:lpstr>CoupleMBR</vt:lpstr>
      <vt:lpstr>'Test Sheet'!CPI</vt:lpstr>
      <vt:lpstr>'Test Sheet'!CPIDeflator</vt:lpstr>
      <vt:lpstr>'Deterministic Output VicSup'!CumulativeAgePension</vt:lpstr>
      <vt:lpstr>CumulativeAgePension</vt:lpstr>
      <vt:lpstr>'Test Sheet'!CurrentDate</vt:lpstr>
      <vt:lpstr>CurrentPensionPayment1</vt:lpstr>
      <vt:lpstr>CurrentPensionPayment2</vt:lpstr>
      <vt:lpstr>CustomPricing</vt:lpstr>
      <vt:lpstr>Input!DateOfBirth1</vt:lpstr>
      <vt:lpstr>Input!DateOfBirth2</vt:lpstr>
      <vt:lpstr>DateUseHybridAssetTest</vt:lpstr>
      <vt:lpstr>DeathCommutationValue</vt:lpstr>
      <vt:lpstr>'Test Sheet'!DedAmt11</vt:lpstr>
      <vt:lpstr>'Test Sheet'!DedAmt21</vt:lpstr>
      <vt:lpstr>'Test Sheet'!DeemableAssets</vt:lpstr>
      <vt:lpstr>'Test Sheet'!DeemedIncome</vt:lpstr>
      <vt:lpstr>'Test Sheet'!DeemingChange</vt:lpstr>
      <vt:lpstr>DeemingFloor</vt:lpstr>
      <vt:lpstr>SocialSecuritySettings!DeemingRates</vt:lpstr>
      <vt:lpstr>DeemingRatesBrackets</vt:lpstr>
      <vt:lpstr>DefensiveAllocation</vt:lpstr>
      <vt:lpstr>DefensiveAllocationPortA</vt:lpstr>
      <vt:lpstr>DefensiveAllocationPortB</vt:lpstr>
      <vt:lpstr>DefensiveInvFee</vt:lpstr>
      <vt:lpstr>DefensiveInvFeePortA</vt:lpstr>
      <vt:lpstr>DefensiveInvFeePortB</vt:lpstr>
      <vt:lpstr>DeferralPeriodX</vt:lpstr>
      <vt:lpstr>Input!DefFee</vt:lpstr>
      <vt:lpstr>DefinedNames</vt:lpstr>
      <vt:lpstr>Input!DepreciationOnPersonalAssets</vt:lpstr>
      <vt:lpstr>Input!DesiredSpend</vt:lpstr>
      <vt:lpstr>'Deterministic Output'!DetAnnuity</vt:lpstr>
      <vt:lpstr>'Deterministic Output VicSup'!DetAnnuity</vt:lpstr>
      <vt:lpstr>'Deterministic Output VicSup'!DetCash</vt:lpstr>
      <vt:lpstr>DetCash</vt:lpstr>
      <vt:lpstr>'Deterministic Output VicSup'!DetCashDrawings</vt:lpstr>
      <vt:lpstr>DetCashDrawings</vt:lpstr>
      <vt:lpstr>'Deterministic Output'!DetCentrelink</vt:lpstr>
      <vt:lpstr>'Deterministic Output VicSup'!DetCentrelink</vt:lpstr>
      <vt:lpstr>Input!DetCPI</vt:lpstr>
      <vt:lpstr>Input!DetDefensive</vt:lpstr>
      <vt:lpstr>'Deterministic Output'!DeterministicOutput</vt:lpstr>
      <vt:lpstr>'Deterministic Output VicSup'!DeterministicOutput</vt:lpstr>
      <vt:lpstr>DeterministicScenarioOutput</vt:lpstr>
      <vt:lpstr>Input!DetGrowth</vt:lpstr>
      <vt:lpstr>'Deterministic Output'!DetNS</vt:lpstr>
      <vt:lpstr>'Deterministic Output VicSup'!DetNS</vt:lpstr>
      <vt:lpstr>Input!DetOther</vt:lpstr>
      <vt:lpstr>'Deterministic Output'!DetPension</vt:lpstr>
      <vt:lpstr>'Deterministic Output VicSup'!DetPension</vt:lpstr>
      <vt:lpstr>Input!DetProperty</vt:lpstr>
      <vt:lpstr>'Deterministic Output'!DetSpend</vt:lpstr>
      <vt:lpstr>'Deterministic Output VicSup'!DetSpend</vt:lpstr>
      <vt:lpstr>'Deterministic Output'!DetWealth</vt:lpstr>
      <vt:lpstr>'Deterministic Output VicSup'!DetWealth</vt:lpstr>
      <vt:lpstr>DOBPerson1</vt:lpstr>
      <vt:lpstr>DOBPerson1PortA</vt:lpstr>
      <vt:lpstr>DOBPerson1PortB</vt:lpstr>
      <vt:lpstr>DOBPerson2</vt:lpstr>
      <vt:lpstr>DOBPerson2PortA</vt:lpstr>
      <vt:lpstr>DOBPerson2PortB</vt:lpstr>
      <vt:lpstr>SocialSecuritySettings!EffectiveDate</vt:lpstr>
      <vt:lpstr>EmployIncomePerson1</vt:lpstr>
      <vt:lpstr>EmployIncomePerson1PortA</vt:lpstr>
      <vt:lpstr>EmployIncomePerson1PortB</vt:lpstr>
      <vt:lpstr>EmployIncomePerson2</vt:lpstr>
      <vt:lpstr>EmployIncomePerson2PortA</vt:lpstr>
      <vt:lpstr>EmployIncomePerson2PortB</vt:lpstr>
      <vt:lpstr>EmployIncomeRemainingYrsPerson1</vt:lpstr>
      <vt:lpstr>EmployIncomeRemainingYrsPerson1PortA</vt:lpstr>
      <vt:lpstr>EmployIncomeRemainingYrsPerson1PortB</vt:lpstr>
      <vt:lpstr>EmployIncomeRemainingYrsPerson2</vt:lpstr>
      <vt:lpstr>EmployIncomeRemainingYrsPerson2PortA</vt:lpstr>
      <vt:lpstr>EmployIncomeRemainingYrsPerson2PortB</vt:lpstr>
      <vt:lpstr>EmploymentIncome</vt:lpstr>
      <vt:lpstr>EmploymentIncome1</vt:lpstr>
      <vt:lpstr>EmploymentIncome2</vt:lpstr>
      <vt:lpstr>Input!EmploymentIncomeGrowth</vt:lpstr>
      <vt:lpstr>EmploymentIncomeGrowthPortA</vt:lpstr>
      <vt:lpstr>EmploymentIncomeGrowthPortB</vt:lpstr>
      <vt:lpstr>ExcessTransferP1</vt:lpstr>
      <vt:lpstr>ExcessTransferP2</vt:lpstr>
      <vt:lpstr>FamilyReductionP1</vt:lpstr>
      <vt:lpstr>FamilyReductionP2</vt:lpstr>
      <vt:lpstr>FifteenYrBondRate</vt:lpstr>
      <vt:lpstr>FifteenYrBondRateAtCommencement</vt:lpstr>
      <vt:lpstr>FinancialAssetsGrowth</vt:lpstr>
      <vt:lpstr>FinancialAssetsIncome</vt:lpstr>
      <vt:lpstr>Input!FinancialInvestments</vt:lpstr>
      <vt:lpstr>FinancialInvestmentsDeemed</vt:lpstr>
      <vt:lpstr>FinancialInvestmentsDeemedPortA</vt:lpstr>
      <vt:lpstr>FinancialInvestmentsDeemedPortB</vt:lpstr>
      <vt:lpstr>FinancialInvestmentsReturns</vt:lpstr>
      <vt:lpstr>FinancialInvestmentsReturnsPortA</vt:lpstr>
      <vt:lpstr>FinancialInvestmentsReturnsPortB</vt:lpstr>
      <vt:lpstr>FixedAWOTE</vt:lpstr>
      <vt:lpstr>FixedAWOTEPortA</vt:lpstr>
      <vt:lpstr>FixedAWOTEPortB</vt:lpstr>
      <vt:lpstr>FixedCPI</vt:lpstr>
      <vt:lpstr>FixedCPIPortA</vt:lpstr>
      <vt:lpstr>FixedCPIPortB</vt:lpstr>
      <vt:lpstr>FixedDefensiveReturn</vt:lpstr>
      <vt:lpstr>FixedDefensiveReturnPortA</vt:lpstr>
      <vt:lpstr>FixedDefensiveReturnPortB</vt:lpstr>
      <vt:lpstr>Input!FixedFee</vt:lpstr>
      <vt:lpstr>FixedGrowthReturn</vt:lpstr>
      <vt:lpstr>FixedGrowthReturnPortA</vt:lpstr>
      <vt:lpstr>FixedGrowthReturnPortB</vt:lpstr>
      <vt:lpstr>FlatFileLocation</vt:lpstr>
      <vt:lpstr>FlatFileName</vt:lpstr>
      <vt:lpstr>Input!Gender1</vt:lpstr>
      <vt:lpstr>Input!Gender2</vt:lpstr>
      <vt:lpstr>GrowthAllocation</vt:lpstr>
      <vt:lpstr>GrowthAllocationPortA</vt:lpstr>
      <vt:lpstr>GrowthAllocationPortB</vt:lpstr>
      <vt:lpstr>Input!GrowthFee</vt:lpstr>
      <vt:lpstr>GrowthIncome</vt:lpstr>
      <vt:lpstr>GrowthInvFee</vt:lpstr>
      <vt:lpstr>GrowthInvFeePortA</vt:lpstr>
      <vt:lpstr>GrowthInvFeePortB</vt:lpstr>
      <vt:lpstr>GuaranteePeriod11</vt:lpstr>
      <vt:lpstr>GuaranteePeriod21</vt:lpstr>
      <vt:lpstr>Input!HasAnnuity1</vt:lpstr>
      <vt:lpstr>Input!HasAnnuity2</vt:lpstr>
      <vt:lpstr>Input!HasTermAnnuity1</vt:lpstr>
      <vt:lpstr>Input!HasTermAnnuity2</vt:lpstr>
      <vt:lpstr>'Test Sheet'!Homeowner</vt:lpstr>
      <vt:lpstr>HomeownerStatus</vt:lpstr>
      <vt:lpstr>HomeownerStatusPortA</vt:lpstr>
      <vt:lpstr>HomeownerStatusPortB</vt:lpstr>
      <vt:lpstr>IFundLifetimeFrequencyPerson1</vt:lpstr>
      <vt:lpstr>IFundLifetimeFrequencyPerson1PortA</vt:lpstr>
      <vt:lpstr>IFundLifetimeFrequencyPerson1PortB</vt:lpstr>
      <vt:lpstr>IFundLifetimeFrequencyPerson2</vt:lpstr>
      <vt:lpstr>IFundLifetimeFrequencyPerson2PortA</vt:lpstr>
      <vt:lpstr>IFundLifetimeFrequencyPerson2PortB</vt:lpstr>
      <vt:lpstr>IFundLifetimeIndexationPerson1</vt:lpstr>
      <vt:lpstr>IFundLifetimeIndexationPerson1PortA</vt:lpstr>
      <vt:lpstr>IFundLifetimeIndexationPerson1PortB</vt:lpstr>
      <vt:lpstr>IFundLifetimeIndexationPerson2</vt:lpstr>
      <vt:lpstr>IFundLifetimeIndexationPerson2PortA</vt:lpstr>
      <vt:lpstr>IFundLifetimeIndexationPerson2PortB</vt:lpstr>
      <vt:lpstr>IFundLifetimeOngoingASFPerson1</vt:lpstr>
      <vt:lpstr>IFundLifetimeOngoingASFPerson1PortA</vt:lpstr>
      <vt:lpstr>IFundLifetimeOngoingASFPerson1PortB</vt:lpstr>
      <vt:lpstr>IFundLifetimeOngoingASFPerson2</vt:lpstr>
      <vt:lpstr>IFundLifetimeOngoingASFPerson2PortA</vt:lpstr>
      <vt:lpstr>IFundLifetimeOngoingASFPerson2PortB</vt:lpstr>
      <vt:lpstr>IFundLifetimePaymentPerson1</vt:lpstr>
      <vt:lpstr>IFundLifetimePaymentPerson1PortA</vt:lpstr>
      <vt:lpstr>IFundLifetimePaymentPerson1PortB</vt:lpstr>
      <vt:lpstr>IFundLifetimePaymentPerson2</vt:lpstr>
      <vt:lpstr>IFundLifetimePaymentPerson2PortA</vt:lpstr>
      <vt:lpstr>IFundLifetimePaymentPerson2PortB</vt:lpstr>
      <vt:lpstr>IFundLifetimePurchasePricePerson1</vt:lpstr>
      <vt:lpstr>IFundLifetimePurchasePricePerson1PortA</vt:lpstr>
      <vt:lpstr>IFundLifetimePurchasePricePerson1PortB</vt:lpstr>
      <vt:lpstr>IFundLIfetimePurchasePricePerson2</vt:lpstr>
      <vt:lpstr>IFundLIfetimePurchasePricePerson2PortA</vt:lpstr>
      <vt:lpstr>IFundLifetimePurchasePricePerson2PortB</vt:lpstr>
      <vt:lpstr>IFundLifetimeReversionaryPerson1</vt:lpstr>
      <vt:lpstr>IFundLifetimeReversionaryPerson1PortA</vt:lpstr>
      <vt:lpstr>IFundLifetimeReversionaryPerson1PortB</vt:lpstr>
      <vt:lpstr>IFundLifetimeReversionaryPerson2</vt:lpstr>
      <vt:lpstr>IFundLifetimeReversionaryPerson2PortA</vt:lpstr>
      <vt:lpstr>IFundLifetimeReversionaryPerson2PortB</vt:lpstr>
      <vt:lpstr>IFundLifetimeUpfrontASFPerson1</vt:lpstr>
      <vt:lpstr>IFundLifetimeUpfrontASFPerson1PortA</vt:lpstr>
      <vt:lpstr>IFundLifetimeUpfrontASFPerson1PortB</vt:lpstr>
      <vt:lpstr>IFundLIfetimeUpfrontASFPerson2</vt:lpstr>
      <vt:lpstr>IFundLIfetimeUpfrontASFPerson2PortA</vt:lpstr>
      <vt:lpstr>IFundLifetimeUpfrontASFPerson2PortB</vt:lpstr>
      <vt:lpstr>IFundLifetimeWithdrawalGteePerson1</vt:lpstr>
      <vt:lpstr>IFundLifetimeWithdrawalGteePerson1PortA</vt:lpstr>
      <vt:lpstr>IFundLifetimeWithdrawalGteePerson1PortB</vt:lpstr>
      <vt:lpstr>IFundLifetimeWithdrawalGteePerson2</vt:lpstr>
      <vt:lpstr>IFundLifetimeWithdrawalGteePerson2PortA</vt:lpstr>
      <vt:lpstr>IFundLifetimeWithdrawalGteePerson2PortB</vt:lpstr>
      <vt:lpstr>IFundLifetimeWithdrawalPeriodPerson1</vt:lpstr>
      <vt:lpstr>IFundLifetimeWithdrawalPeriodPerson1PortA</vt:lpstr>
      <vt:lpstr>IFundLifetimeWithdrawalPeriodPerson1PortB</vt:lpstr>
      <vt:lpstr>IFundLifetimeWithdrawalPeriodPerson2</vt:lpstr>
      <vt:lpstr>IFundLifetimeWithdrawalPeriodPerson2PortA</vt:lpstr>
      <vt:lpstr>IFundLifetimeWithdrawalPeriodPerson2PortB</vt:lpstr>
      <vt:lpstr>IllnessSeperated</vt:lpstr>
      <vt:lpstr>Input!Income1</vt:lpstr>
      <vt:lpstr>Input!Income2</vt:lpstr>
      <vt:lpstr>IncomeDecision</vt:lpstr>
      <vt:lpstr>Input!IncomeManagementDecision</vt:lpstr>
      <vt:lpstr>IncomeMgt</vt:lpstr>
      <vt:lpstr>IncomeMgtPortA</vt:lpstr>
      <vt:lpstr>IncomeMgtPortB</vt:lpstr>
      <vt:lpstr>'Test Sheet'!IncomeTest</vt:lpstr>
      <vt:lpstr>'Test Sheet'!IncTest11</vt:lpstr>
      <vt:lpstr>'Test Sheet'!IncTest21</vt:lpstr>
      <vt:lpstr>Input!IndexFixedFee</vt:lpstr>
      <vt:lpstr>IndexFixedFee</vt:lpstr>
      <vt:lpstr>'Test Sheet'!InitialSpend</vt:lpstr>
      <vt:lpstr>InvestmentProperty</vt:lpstr>
      <vt:lpstr>InvestmentPropertyGrowth</vt:lpstr>
      <vt:lpstr>InvestmentPropertyIncome</vt:lpstr>
      <vt:lpstr>InvestmentPropertyPortA</vt:lpstr>
      <vt:lpstr>InvestmentPropertyPortB</vt:lpstr>
      <vt:lpstr>InvestmentPropertyRentalGrowth</vt:lpstr>
      <vt:lpstr>InvestPropertyGrowth</vt:lpstr>
      <vt:lpstr>InvestPropertyGrowthPortA</vt:lpstr>
      <vt:lpstr>InvestPropertyGrowthPortB</vt:lpstr>
      <vt:lpstr>IsVoluntary</vt:lpstr>
      <vt:lpstr>LEMinMax</vt:lpstr>
      <vt:lpstr>LERounding</vt:lpstr>
      <vt:lpstr>Life11Rev</vt:lpstr>
      <vt:lpstr>Life12Rev</vt:lpstr>
      <vt:lpstr>Life13Rev</vt:lpstr>
      <vt:lpstr>Life21Rev</vt:lpstr>
      <vt:lpstr>Life22Rev</vt:lpstr>
      <vt:lpstr>Life23Rev</vt:lpstr>
      <vt:lpstr>LifeDeemed</vt:lpstr>
      <vt:lpstr>SocialSecuritySettings!LifeExpectancy</vt:lpstr>
      <vt:lpstr>LifetimeAnnuityPlatformFee</vt:lpstr>
      <vt:lpstr>LifetimeAnnuityPlatformFeePortA</vt:lpstr>
      <vt:lpstr>LifetimeAnnuityPlatformFeePortB</vt:lpstr>
      <vt:lpstr>'Deterministic Output VicSup'!lifetimeAnnuityValue</vt:lpstr>
      <vt:lpstr>lifetimeAnnuityValue</vt:lpstr>
      <vt:lpstr>LifetimeCfg</vt:lpstr>
      <vt:lpstr>LifetimeCommInsure</vt:lpstr>
      <vt:lpstr>LifetimeIIcfg</vt:lpstr>
      <vt:lpstr>LiquidityOption1</vt:lpstr>
      <vt:lpstr>LiquidityOption2</vt:lpstr>
      <vt:lpstr>lito_0</vt:lpstr>
      <vt:lpstr>lito_l</vt:lpstr>
      <vt:lpstr>lito_red</vt:lpstr>
      <vt:lpstr>lito_u</vt:lpstr>
      <vt:lpstr>LITOP1</vt:lpstr>
      <vt:lpstr>LITOP2</vt:lpstr>
      <vt:lpstr>LowerDeemingRate</vt:lpstr>
      <vt:lpstr>LowerFamillyLimitP1</vt:lpstr>
      <vt:lpstr>LowerFamillyLimitP2</vt:lpstr>
      <vt:lpstr>LowerPercentile</vt:lpstr>
      <vt:lpstr>MarketA</vt:lpstr>
      <vt:lpstr>MarketB</vt:lpstr>
      <vt:lpstr>MarketC</vt:lpstr>
      <vt:lpstr>'Test Sheet'!MaxAgePension</vt:lpstr>
      <vt:lpstr>MaxEnergySupplementCouple</vt:lpstr>
      <vt:lpstr>MaxPensSupplementCouple</vt:lpstr>
      <vt:lpstr>MaxWorkBonus</vt:lpstr>
      <vt:lpstr>MBRCouple</vt:lpstr>
      <vt:lpstr>MedicareExmpCoupleP1</vt:lpstr>
      <vt:lpstr>MedicareExmpCoupleP2</vt:lpstr>
      <vt:lpstr>MedicareExmpSingleP1</vt:lpstr>
      <vt:lpstr>MedicareExmpSingleP2</vt:lpstr>
      <vt:lpstr>MedicareLevyP1</vt:lpstr>
      <vt:lpstr>MedicareLevyP2</vt:lpstr>
      <vt:lpstr>MedicareLvyCoupleP1</vt:lpstr>
      <vt:lpstr>MedicareLvyCoupleP2</vt:lpstr>
      <vt:lpstr>MedicareLvyP1</vt:lpstr>
      <vt:lpstr>MedicareLvyP2</vt:lpstr>
      <vt:lpstr>MedicareLvySingleP1</vt:lpstr>
      <vt:lpstr>MedicareLvySingleP2</vt:lpstr>
      <vt:lpstr>MinEnergySuppCouple</vt:lpstr>
      <vt:lpstr>MinPensSuppCouple</vt:lpstr>
      <vt:lpstr>ML_Lower_SaptoFamily</vt:lpstr>
      <vt:lpstr>ML_lower_SAPTOSingle</vt:lpstr>
      <vt:lpstr>ML_lower_stdFamily</vt:lpstr>
      <vt:lpstr>ML_lower_stdSingle</vt:lpstr>
      <vt:lpstr>ML_Rate</vt:lpstr>
      <vt:lpstr>ML_upper_SaptoFamily</vt:lpstr>
      <vt:lpstr>ML_upper_SAPTOSingle</vt:lpstr>
      <vt:lpstr>ML_upper_stdFamily</vt:lpstr>
      <vt:lpstr>ML_upper_stdSingle</vt:lpstr>
      <vt:lpstr>MortalityImprovementFactor</vt:lpstr>
      <vt:lpstr>MortalityTable</vt:lpstr>
      <vt:lpstr>Input!Name1</vt:lpstr>
      <vt:lpstr>Input!Name2</vt:lpstr>
      <vt:lpstr>NewAssetTest</vt:lpstr>
      <vt:lpstr>NewAssetTestDate</vt:lpstr>
      <vt:lpstr>NewAssetTestTaperRate</vt:lpstr>
      <vt:lpstr>NewAssetTestThreshold</vt:lpstr>
      <vt:lpstr>NewAssetTestThresholds</vt:lpstr>
      <vt:lpstr>NewEntitlement</vt:lpstr>
      <vt:lpstr>NewIncomeTest</vt:lpstr>
      <vt:lpstr>NewTaper</vt:lpstr>
      <vt:lpstr>NewWorkBonus</vt:lpstr>
      <vt:lpstr>NominalDeathDiscountRate11</vt:lpstr>
      <vt:lpstr>NominalDeathDiscountRate12</vt:lpstr>
      <vt:lpstr>NominalDeathDiscountRate21</vt:lpstr>
      <vt:lpstr>NominalDeathDiscountRate22</vt:lpstr>
      <vt:lpstr>NominalPlatformFeeInput11</vt:lpstr>
      <vt:lpstr>NominalPlatformFeeInput12</vt:lpstr>
      <vt:lpstr>NominalPlatformFeeInput13</vt:lpstr>
      <vt:lpstr>NominalPlatformFeeInput21</vt:lpstr>
      <vt:lpstr>NominalPlatformFeeInput22</vt:lpstr>
      <vt:lpstr>NominalPlatformFeeInput23</vt:lpstr>
      <vt:lpstr>NominalVoluntaryDiscountRate11</vt:lpstr>
      <vt:lpstr>NominalVoluntaryDiscountRate12</vt:lpstr>
      <vt:lpstr>NominalVoluntaryDiscountRate21</vt:lpstr>
      <vt:lpstr>NominalVoluntaryDiscountRate22</vt:lpstr>
      <vt:lpstr>'Test Sheet'!NonSuper</vt:lpstr>
      <vt:lpstr>'Test Sheet'!NonSuper0</vt:lpstr>
      <vt:lpstr>'Deterministic Output VicSup'!nonSuperBalance</vt:lpstr>
      <vt:lpstr>nonSuperBalance</vt:lpstr>
      <vt:lpstr>'Deterministic Output VicSup'!NonSuperCash</vt:lpstr>
      <vt:lpstr>NonSuperCash</vt:lpstr>
      <vt:lpstr>NonSuperCashBalance</vt:lpstr>
      <vt:lpstr>NonSuperCashIncome</vt:lpstr>
      <vt:lpstr>NonSuperFinancial</vt:lpstr>
      <vt:lpstr>NonSuperOther</vt:lpstr>
      <vt:lpstr>NonSuperProperty</vt:lpstr>
      <vt:lpstr>NSCash</vt:lpstr>
      <vt:lpstr>NSCashIncome</vt:lpstr>
      <vt:lpstr>NSFinancial</vt:lpstr>
      <vt:lpstr>NSFinancialInvestmentIncome</vt:lpstr>
      <vt:lpstr>Input!NSInvestment</vt:lpstr>
      <vt:lpstr>NSInvestmentYield</vt:lpstr>
      <vt:lpstr>NSNomCashIncome</vt:lpstr>
      <vt:lpstr>NSOther</vt:lpstr>
      <vt:lpstr>NSOtherAssetsIncome</vt:lpstr>
      <vt:lpstr>NSPersonal</vt:lpstr>
      <vt:lpstr>Input!NSProperty</vt:lpstr>
      <vt:lpstr>'Test Sheet'!NSProperty</vt:lpstr>
      <vt:lpstr>Input!NSRental</vt:lpstr>
      <vt:lpstr>'Test Sheet'!NSRentalIncome</vt:lpstr>
      <vt:lpstr>NSTotalRealIncome</vt:lpstr>
      <vt:lpstr>NSYield</vt:lpstr>
      <vt:lpstr>Input!NumberAnnuitites1</vt:lpstr>
      <vt:lpstr>Input!NumberAnnuitites2</vt:lpstr>
      <vt:lpstr>NumberOfSims</vt:lpstr>
      <vt:lpstr>Input!NumberTerm1</vt:lpstr>
      <vt:lpstr>Input!NumberTerm2</vt:lpstr>
      <vt:lpstr>OACash</vt:lpstr>
      <vt:lpstr>OAFinancialInvestments</vt:lpstr>
      <vt:lpstr>OAOther</vt:lpstr>
      <vt:lpstr>OAProperty</vt:lpstr>
      <vt:lpstr>OATotal</vt:lpstr>
      <vt:lpstr>OldAssetTest</vt:lpstr>
      <vt:lpstr>OldAssetTestThreshold</vt:lpstr>
      <vt:lpstr>OldEntitlement</vt:lpstr>
      <vt:lpstr>OldIncomeTest</vt:lpstr>
      <vt:lpstr>OldTaper</vt:lpstr>
      <vt:lpstr>OldWorkBonus</vt:lpstr>
      <vt:lpstr>OrdinaryIncomeFreeAreaLimits</vt:lpstr>
      <vt:lpstr>Input!OtherAssets</vt:lpstr>
      <vt:lpstr>OtherAssetsGrowth</vt:lpstr>
      <vt:lpstr>OtherAssetsIncome</vt:lpstr>
      <vt:lpstr>OtherAssetsPortA</vt:lpstr>
      <vt:lpstr>OtherAssetsPortB</vt:lpstr>
      <vt:lpstr>OtherAssetsReturn</vt:lpstr>
      <vt:lpstr>OtherAssetsReturnPortA</vt:lpstr>
      <vt:lpstr>OtherAssetsReturnPortB</vt:lpstr>
      <vt:lpstr>'Test Sheet'!OtherIncome</vt:lpstr>
      <vt:lpstr>'Test Sheet'!OtherIncome1</vt:lpstr>
      <vt:lpstr>'Test Sheet'!OtherIncome2</vt:lpstr>
      <vt:lpstr>Input!OtherIncomeGrowth</vt:lpstr>
      <vt:lpstr>OtherIncomeGrowth</vt:lpstr>
      <vt:lpstr>OtherIncomeGrowthPortA</vt:lpstr>
      <vt:lpstr>OtherIncomeGrowthPortB</vt:lpstr>
      <vt:lpstr>OtherIncomePerson1</vt:lpstr>
      <vt:lpstr>OtherIncomePerson1PortA</vt:lpstr>
      <vt:lpstr>OtherIncomePerson1PortB</vt:lpstr>
      <vt:lpstr>OtherIncomePerson2</vt:lpstr>
      <vt:lpstr>OtherIncomePerson2PortA</vt:lpstr>
      <vt:lpstr>OtherIncomePerson2PortB</vt:lpstr>
      <vt:lpstr>OverFamilyLimitP1</vt:lpstr>
      <vt:lpstr>OverFamilyLimitP2</vt:lpstr>
      <vt:lpstr>Input!OwnHome</vt:lpstr>
      <vt:lpstr>'Deterministic Output VicSup'!P1ABPYr1</vt:lpstr>
      <vt:lpstr>P1ABPYr1</vt:lpstr>
      <vt:lpstr>P1Age</vt:lpstr>
      <vt:lpstr>'Test Sheet'!P1AgeValn</vt:lpstr>
      <vt:lpstr>'Test Sheet'!P1DOB</vt:lpstr>
      <vt:lpstr>'Test Sheet'!P1Gender</vt:lpstr>
      <vt:lpstr>'Test Sheet'!P1Name</vt:lpstr>
      <vt:lpstr>'Test Sheet'!P1Pensions</vt:lpstr>
      <vt:lpstr>'Test Sheet'!P1Super</vt:lpstr>
      <vt:lpstr>'Deterministic Output VicSup'!P2ABPYr1</vt:lpstr>
      <vt:lpstr>P2ABPYr1</vt:lpstr>
      <vt:lpstr>P2Age</vt:lpstr>
      <vt:lpstr>'Test Sheet'!P2AgeValn</vt:lpstr>
      <vt:lpstr>'Test Sheet'!P2DOB</vt:lpstr>
      <vt:lpstr>'Test Sheet'!P2Gender</vt:lpstr>
      <vt:lpstr>'Test Sheet'!P2Name</vt:lpstr>
      <vt:lpstr>'Test Sheet'!P2Pensions</vt:lpstr>
      <vt:lpstr>'Test Sheet'!P2Super</vt:lpstr>
      <vt:lpstr>PartialIndexationThreshold</vt:lpstr>
      <vt:lpstr>Input!PaymentFrequency11</vt:lpstr>
      <vt:lpstr>Input!PaymentFrequency12</vt:lpstr>
      <vt:lpstr>PaymentFrequency13</vt:lpstr>
      <vt:lpstr>Input!PaymentFrequency21</vt:lpstr>
      <vt:lpstr>Input!PaymentFrequency22</vt:lpstr>
      <vt:lpstr>PaymentFrequency23</vt:lpstr>
      <vt:lpstr>PaymentWarningTrigger</vt:lpstr>
      <vt:lpstr>PensionBalance1</vt:lpstr>
      <vt:lpstr>PensionBalance2</vt:lpstr>
      <vt:lpstr>SocialSecuritySettings!PensionStandards</vt:lpstr>
      <vt:lpstr>PensionStandards</vt:lpstr>
      <vt:lpstr>'Deterministic Output VicSup'!PensionTest</vt:lpstr>
      <vt:lpstr>PensionTest</vt:lpstr>
      <vt:lpstr>'Test Sheet'!PensPmt11</vt:lpstr>
      <vt:lpstr>'Test Sheet'!PensPmt21</vt:lpstr>
      <vt:lpstr>'Test Sheet'!PensPmts</vt:lpstr>
      <vt:lpstr>PercentageAbp</vt:lpstr>
      <vt:lpstr>PercentageLifeAnnuityCfg</vt:lpstr>
      <vt:lpstr>PercentageLifeAnnuityCommInsure</vt:lpstr>
      <vt:lpstr>PercentageLifeAnnuityIicfg</vt:lpstr>
      <vt:lpstr>'Deterministic Output VicSup'!PercentageMaxAgePension</vt:lpstr>
      <vt:lpstr>PercentageMaxAgePension</vt:lpstr>
      <vt:lpstr>PercentageTermAnnuityCfg</vt:lpstr>
      <vt:lpstr>PercentageTermAnnuityCommInsure</vt:lpstr>
      <vt:lpstr>PeronalAssetsGrowth</vt:lpstr>
      <vt:lpstr>Input!PerpetuityIncome1</vt:lpstr>
      <vt:lpstr>Input!PerpetuityIncome2</vt:lpstr>
      <vt:lpstr>'Test Sheet'!Personal</vt:lpstr>
      <vt:lpstr>Input!PersonalAssets</vt:lpstr>
      <vt:lpstr>PersonalAssetsIncome</vt:lpstr>
      <vt:lpstr>PersonalAssetsPortA</vt:lpstr>
      <vt:lpstr>PersonalAssetsPortB</vt:lpstr>
      <vt:lpstr>PersonalAssetsReturn</vt:lpstr>
      <vt:lpstr>PersonalAssetsReturnPortA</vt:lpstr>
      <vt:lpstr>PersonalAssetsReturnPortB</vt:lpstr>
      <vt:lpstr>Input!PlatformFee</vt:lpstr>
      <vt:lpstr>PlatformFeePerc</vt:lpstr>
      <vt:lpstr>PlatformFeePercPortA</vt:lpstr>
      <vt:lpstr>PlatformFeePercPortB</vt:lpstr>
      <vt:lpstr>PlatformFeeTerm</vt:lpstr>
      <vt:lpstr>PricingValidDate</vt:lpstr>
      <vt:lpstr>'Age Pension report'!Print_Area</vt:lpstr>
      <vt:lpstr>Input!Print_Area</vt:lpstr>
      <vt:lpstr>'Test Sheet'!Print_Area</vt:lpstr>
      <vt:lpstr>ProportionNewAssetTest</vt:lpstr>
      <vt:lpstr>Protection</vt:lpstr>
      <vt:lpstr>RandomSim</vt:lpstr>
      <vt:lpstr>RealPlatformFee11</vt:lpstr>
      <vt:lpstr>RealPlatformFee12</vt:lpstr>
      <vt:lpstr>RealPlatformFee13</vt:lpstr>
      <vt:lpstr>RealPlatformFee21</vt:lpstr>
      <vt:lpstr>RealPlatformFee22</vt:lpstr>
      <vt:lpstr>RealPlatformFee23</vt:lpstr>
      <vt:lpstr>RealPlatformFeeInput11</vt:lpstr>
      <vt:lpstr>RealPlatformFeeInput12</vt:lpstr>
      <vt:lpstr>RealPlatformFeeInput13</vt:lpstr>
      <vt:lpstr>RealPlatformFeeInput21</vt:lpstr>
      <vt:lpstr>RealPlatformFeeInput22</vt:lpstr>
      <vt:lpstr>RealPlatformFeeInput23</vt:lpstr>
      <vt:lpstr>ReducedEmploymentIncome</vt:lpstr>
      <vt:lpstr>Relationship</vt:lpstr>
      <vt:lpstr>SocialSecuritySettings!RelevantNumbers</vt:lpstr>
      <vt:lpstr>'Test Sheet'!RelNumber11</vt:lpstr>
      <vt:lpstr>'Test Sheet'!RelNumber21</vt:lpstr>
      <vt:lpstr>Input!RentalGrowth</vt:lpstr>
      <vt:lpstr>RentalIncome</vt:lpstr>
      <vt:lpstr>RentalIncomeGrowth</vt:lpstr>
      <vt:lpstr>RentalIncomeGrowthPortA</vt:lpstr>
      <vt:lpstr>RentalIncomeGrowthPortB</vt:lpstr>
      <vt:lpstr>RentIncome</vt:lpstr>
      <vt:lpstr>RentIncomePortA</vt:lpstr>
      <vt:lpstr>RentIncomePortB</vt:lpstr>
      <vt:lpstr>ReqIncomeYr1</vt:lpstr>
      <vt:lpstr>ReqIncomeYr1PortA</vt:lpstr>
      <vt:lpstr>ReqIncomeYr1PortB</vt:lpstr>
      <vt:lpstr>Input!ResidualCapitalValue11</vt:lpstr>
      <vt:lpstr>Input!ResidualCapitalValue12</vt:lpstr>
      <vt:lpstr>Input!ResidualCapitalValue21</vt:lpstr>
      <vt:lpstr>Input!ResidualCapitalValue22</vt:lpstr>
      <vt:lpstr>RICInputAgePension</vt:lpstr>
      <vt:lpstr>Input!RICInputMaxIncome</vt:lpstr>
      <vt:lpstr>Input!RICInputMinIncome</vt:lpstr>
      <vt:lpstr>RICTestSheet_AnnuityInformation</vt:lpstr>
      <vt:lpstr>S1OtherAssets</vt:lpstr>
      <vt:lpstr>SAPTO_Red</vt:lpstr>
      <vt:lpstr>SAPTOAdjRebateP1</vt:lpstr>
      <vt:lpstr>SAPTOAdjRebateP2</vt:lpstr>
      <vt:lpstr>SAPTOc_L</vt:lpstr>
      <vt:lpstr>SAPTOc_O</vt:lpstr>
      <vt:lpstr>SAPTOc_U</vt:lpstr>
      <vt:lpstr>SAPTOcill_L</vt:lpstr>
      <vt:lpstr>SAPTOcill_O</vt:lpstr>
      <vt:lpstr>SAPTOcill_U</vt:lpstr>
      <vt:lpstr>SAPTOCoupleCalcP1</vt:lpstr>
      <vt:lpstr>SAPTOCoupleCalcP2</vt:lpstr>
      <vt:lpstr>SAPTOCoupleP1</vt:lpstr>
      <vt:lpstr>SAPTOCoupleP2</vt:lpstr>
      <vt:lpstr>SAPTOEntlP1</vt:lpstr>
      <vt:lpstr>SAPTOEntlP2</vt:lpstr>
      <vt:lpstr>SAPTOP1</vt:lpstr>
      <vt:lpstr>SAPTOP2</vt:lpstr>
      <vt:lpstr>SAPTOPartnerUnusedP1</vt:lpstr>
      <vt:lpstr>SAPTOPartnerUnusedP2</vt:lpstr>
      <vt:lpstr>SAPTOs_L</vt:lpstr>
      <vt:lpstr>SAPTOs_O</vt:lpstr>
      <vt:lpstr>SAPTOs_U</vt:lpstr>
      <vt:lpstr>SAPTOSingleP1</vt:lpstr>
      <vt:lpstr>SAPTOSingleP2</vt:lpstr>
      <vt:lpstr>SavedTestCases</vt:lpstr>
      <vt:lpstr>SavedTestCasesRIC</vt:lpstr>
      <vt:lpstr>SaveExcess</vt:lpstr>
      <vt:lpstr>'Test Sheet'!SBal</vt:lpstr>
      <vt:lpstr>ScenarioA</vt:lpstr>
      <vt:lpstr>ScenarioB</vt:lpstr>
      <vt:lpstr>ScenarioC</vt:lpstr>
      <vt:lpstr>SexPerson1</vt:lpstr>
      <vt:lpstr>SexPerson1PortA</vt:lpstr>
      <vt:lpstr>SexPerson1PortB</vt:lpstr>
      <vt:lpstr>SexPerson2</vt:lpstr>
      <vt:lpstr>SexPerson2PortA</vt:lpstr>
      <vt:lpstr>SexPerson2PortB</vt:lpstr>
      <vt:lpstr>SimNumber</vt:lpstr>
      <vt:lpstr>SingleProportion</vt:lpstr>
      <vt:lpstr>'Test Sheet'!SInvestmentIncome</vt:lpstr>
      <vt:lpstr>Input!SMSFAccum1</vt:lpstr>
      <vt:lpstr>Input!SMSFAccum2</vt:lpstr>
      <vt:lpstr>'Test Sheet'!SMSFExpense</vt:lpstr>
      <vt:lpstr>SMSFGrandfathered1</vt:lpstr>
      <vt:lpstr>SMSFGrandfathered2</vt:lpstr>
      <vt:lpstr>Input!SMSFInv1</vt:lpstr>
      <vt:lpstr>Input!SMSFInv2</vt:lpstr>
      <vt:lpstr>SMSFPP1</vt:lpstr>
      <vt:lpstr>SMSFPP2</vt:lpstr>
      <vt:lpstr>SMSFRN1</vt:lpstr>
      <vt:lpstr>SMSFRN2</vt:lpstr>
      <vt:lpstr>SpousePortionP1</vt:lpstr>
      <vt:lpstr>SpousePortionP2</vt:lpstr>
      <vt:lpstr>SpouseShareP1</vt:lpstr>
      <vt:lpstr>SpouseShareP2</vt:lpstr>
      <vt:lpstr>'Test Sheet'!SReturn</vt:lpstr>
      <vt:lpstr>StartMortality</vt:lpstr>
      <vt:lpstr>StartReturns</vt:lpstr>
      <vt:lpstr>SuggestedMinPayment</vt:lpstr>
      <vt:lpstr>'Test Sheet'!Super0</vt:lpstr>
      <vt:lpstr>'Deterministic Output VicSup'!superBalance</vt:lpstr>
      <vt:lpstr>superBalance</vt:lpstr>
      <vt:lpstr>'Test Sheet'!SuperIncome</vt:lpstr>
      <vt:lpstr>SuperReturn</vt:lpstr>
      <vt:lpstr>'Test Sheet'!SuperStart</vt:lpstr>
      <vt:lpstr>TaxableIncomePerson1</vt:lpstr>
      <vt:lpstr>TaxableIncomePerson2</vt:lpstr>
      <vt:lpstr>TaxBeforeOffsetsPerson1</vt:lpstr>
      <vt:lpstr>TaxBeforeOffsetsPerson2</vt:lpstr>
      <vt:lpstr>TaxTable_1</vt:lpstr>
      <vt:lpstr>TenYrBondRate</vt:lpstr>
      <vt:lpstr>Term11Rev</vt:lpstr>
      <vt:lpstr>Term12Rev</vt:lpstr>
      <vt:lpstr>Term21Rev</vt:lpstr>
      <vt:lpstr>Term22Rev</vt:lpstr>
      <vt:lpstr>TermAdvisorFee11</vt:lpstr>
      <vt:lpstr>TermAdvisorFee12</vt:lpstr>
      <vt:lpstr>TermAdvisorFee21</vt:lpstr>
      <vt:lpstr>TermAdvisorFee22</vt:lpstr>
      <vt:lpstr>Input!TermAdvisorFeeOngoing11</vt:lpstr>
      <vt:lpstr>Input!TermAdvisorFeeOngoing12</vt:lpstr>
      <vt:lpstr>Input!TermAdvisorFeeOngoing21</vt:lpstr>
      <vt:lpstr>Input!TermAdvisorFeeOngoing22</vt:lpstr>
      <vt:lpstr>TermAdvisorFeeOngoingPercent12</vt:lpstr>
      <vt:lpstr>TermAdvisorFeeOngoingPercent22</vt:lpstr>
      <vt:lpstr>Input!TermAdvisorFeeUpfront11</vt:lpstr>
      <vt:lpstr>Input!TermAdvisorFeeUpFront12</vt:lpstr>
      <vt:lpstr>Input!TermAdvisorFeeUpfront21</vt:lpstr>
      <vt:lpstr>Input!TermAdvisorFeeUpfront22</vt:lpstr>
      <vt:lpstr>TermAdvisorFeeUpfrontPercent12</vt:lpstr>
      <vt:lpstr>TermAdvisorFeeUpfrontPercent22</vt:lpstr>
      <vt:lpstr>TermAnnuity_ER11</vt:lpstr>
      <vt:lpstr>TermAnnuity_ER12</vt:lpstr>
      <vt:lpstr>TermAnnuity_ER21</vt:lpstr>
      <vt:lpstr>TermAnnuity_ER22</vt:lpstr>
      <vt:lpstr>TermAnnuity_GIY11</vt:lpstr>
      <vt:lpstr>TermAnnuity_GIY12</vt:lpstr>
      <vt:lpstr>TermAnnuity_GIY21</vt:lpstr>
      <vt:lpstr>TermAnnuity_GIY22</vt:lpstr>
      <vt:lpstr>TermAnnuity_PP11</vt:lpstr>
      <vt:lpstr>TermAnnuity_PP12</vt:lpstr>
      <vt:lpstr>TermAnnuity_PP21</vt:lpstr>
      <vt:lpstr>TermAnnuity_PP22</vt:lpstr>
      <vt:lpstr>TermAnnuity_RCV11</vt:lpstr>
      <vt:lpstr>TermAnnuity_RCV12</vt:lpstr>
      <vt:lpstr>TermAnnuity_RCV21</vt:lpstr>
      <vt:lpstr>TermAnnuity_RCV22</vt:lpstr>
      <vt:lpstr>TermAnnuityAssetTest11</vt:lpstr>
      <vt:lpstr>TermAnnuityAssetTest12</vt:lpstr>
      <vt:lpstr>TermAnnuityAssetTest21</vt:lpstr>
      <vt:lpstr>TermAnnuityAssetTest22</vt:lpstr>
      <vt:lpstr>TermAnnuityDeathCV11</vt:lpstr>
      <vt:lpstr>TermAnnuityDeathCV12</vt:lpstr>
      <vt:lpstr>TermAnnuityDeathCV21</vt:lpstr>
      <vt:lpstr>TermAnnuityDeathCV22</vt:lpstr>
      <vt:lpstr>TermAnnuityDeathDiscountRate11</vt:lpstr>
      <vt:lpstr>TermAnnuityDeathDiscountRate12</vt:lpstr>
      <vt:lpstr>TermAnnuityDeathDiscountRate21</vt:lpstr>
      <vt:lpstr>TermAnnuityDeathDiscountRate22</vt:lpstr>
      <vt:lpstr>TermAnnuityDedAmt11</vt:lpstr>
      <vt:lpstr>TermAnnuityDedAmt12</vt:lpstr>
      <vt:lpstr>TermAnnuityDedAmt21</vt:lpstr>
      <vt:lpstr>TermAnnuityDedAmt22</vt:lpstr>
      <vt:lpstr>TermAnnuityDiscountRate11</vt:lpstr>
      <vt:lpstr>TermAnnuityDiscountRate12</vt:lpstr>
      <vt:lpstr>TermAnnuityDiscountRate21</vt:lpstr>
      <vt:lpstr>TermAnnuityDiscountRate22</vt:lpstr>
      <vt:lpstr>TermAnnuityIncTest11</vt:lpstr>
      <vt:lpstr>TermAnnuityIncTest12</vt:lpstr>
      <vt:lpstr>TermAnnuityIncTest21</vt:lpstr>
      <vt:lpstr>TermAnnuityIncTest22</vt:lpstr>
      <vt:lpstr>Input!TermAnnuityIndexation11</vt:lpstr>
      <vt:lpstr>'Test Sheet'!TermAnnuityIndexation11</vt:lpstr>
      <vt:lpstr>Input!TermAnnuityIndexation12</vt:lpstr>
      <vt:lpstr>'Test Sheet'!TermAnnuityIndexation12</vt:lpstr>
      <vt:lpstr>Input!TermAnnuityIndexation21</vt:lpstr>
      <vt:lpstr>'Test Sheet'!TermAnnuityIndexation21</vt:lpstr>
      <vt:lpstr>Input!TermAnnuityIndexation22</vt:lpstr>
      <vt:lpstr>'Test Sheet'!TermAnnuityIndexation22</vt:lpstr>
      <vt:lpstr>TermAnnuityInitialPayment11</vt:lpstr>
      <vt:lpstr>TermAnnuityInitialPayment12</vt:lpstr>
      <vt:lpstr>TermAnnuityInitialPayment21</vt:lpstr>
      <vt:lpstr>TermAnnuityInitialPayment22</vt:lpstr>
      <vt:lpstr>TermAnnuityPlatformFee</vt:lpstr>
      <vt:lpstr>TermAnnuityPlatformFeePortA</vt:lpstr>
      <vt:lpstr>TermAnnuityPlatformFeePortB</vt:lpstr>
      <vt:lpstr>Input!TermAnnuityPmt11</vt:lpstr>
      <vt:lpstr>TermAnnuityPmt11</vt:lpstr>
      <vt:lpstr>Input!TermAnnuityPmt12</vt:lpstr>
      <vt:lpstr>TermAnnuityPmt12</vt:lpstr>
      <vt:lpstr>Input!TermAnnuityPmt21</vt:lpstr>
      <vt:lpstr>TermAnnuityPmt21</vt:lpstr>
      <vt:lpstr>Input!TermAnnuityPmt22</vt:lpstr>
      <vt:lpstr>TermAnnuityPmt22</vt:lpstr>
      <vt:lpstr>Input!TermAnnuityPP11</vt:lpstr>
      <vt:lpstr>Input!TermAnnuityPP12</vt:lpstr>
      <vt:lpstr>Input!TermAnnuityPP21</vt:lpstr>
      <vt:lpstr>Input!TermAnnuityPP22</vt:lpstr>
      <vt:lpstr>TermAnnuityRCV11</vt:lpstr>
      <vt:lpstr>TermAnnuityRCV12</vt:lpstr>
      <vt:lpstr>TermAnnuityRCV21</vt:lpstr>
      <vt:lpstr>TermAnnuityRCV22</vt:lpstr>
      <vt:lpstr>Input!TermAnnuityReversion11</vt:lpstr>
      <vt:lpstr>Input!TermAnnuityReversion12</vt:lpstr>
      <vt:lpstr>Input!TermAnnuityReversion21</vt:lpstr>
      <vt:lpstr>Input!TermAnnuityReversion22</vt:lpstr>
      <vt:lpstr>TermAnnuityRN11</vt:lpstr>
      <vt:lpstr>TermAnnuityRN12</vt:lpstr>
      <vt:lpstr>TermAnnuityRN21</vt:lpstr>
      <vt:lpstr>TermAnnuityRN22</vt:lpstr>
      <vt:lpstr>Input!TermAnnuityTerm11</vt:lpstr>
      <vt:lpstr>Input!TermAnnuityTerm12</vt:lpstr>
      <vt:lpstr>Input!TermAnnuityTerm21</vt:lpstr>
      <vt:lpstr>Input!TermAnnuityTerm22</vt:lpstr>
      <vt:lpstr>TermAnnuityType11</vt:lpstr>
      <vt:lpstr>TermAnnuityType12</vt:lpstr>
      <vt:lpstr>TermAnnuityType21</vt:lpstr>
      <vt:lpstr>TermAnnuityType22</vt:lpstr>
      <vt:lpstr>'Deterministic Output VicSup'!termAnnuityValue</vt:lpstr>
      <vt:lpstr>termAnnuityValue</vt:lpstr>
      <vt:lpstr>TermAnnuityVolCV11</vt:lpstr>
      <vt:lpstr>TermAnnuityVolCV12</vt:lpstr>
      <vt:lpstr>TermAnnuityVolCV21</vt:lpstr>
      <vt:lpstr>TermAnnuityVolCV22</vt:lpstr>
      <vt:lpstr>TermCfg</vt:lpstr>
      <vt:lpstr>TermCommInsure</vt:lpstr>
      <vt:lpstr>TermDeemed</vt:lpstr>
      <vt:lpstr>TermDeposit</vt:lpstr>
      <vt:lpstr>TermDepositCash</vt:lpstr>
      <vt:lpstr>TermDepositCashPortA</vt:lpstr>
      <vt:lpstr>TermDepositCashPortB</vt:lpstr>
      <vt:lpstr>TermDepositCashReturn</vt:lpstr>
      <vt:lpstr>TermDepositCashReturnPortA</vt:lpstr>
      <vt:lpstr>TermDepositCashReturnPortB</vt:lpstr>
      <vt:lpstr>Input!TermEarningsRate11</vt:lpstr>
      <vt:lpstr>Input!TermEarningsRate12</vt:lpstr>
      <vt:lpstr>Input!TermEarningsRate21</vt:lpstr>
      <vt:lpstr>Input!TermEarningsRate22</vt:lpstr>
      <vt:lpstr>TermNominalPlatformFeeInput11</vt:lpstr>
      <vt:lpstr>TermNominalPlatformFeeInput12</vt:lpstr>
      <vt:lpstr>TermNominalPlatformFeeInput21</vt:lpstr>
      <vt:lpstr>TermNominalPlatformFeeInput22</vt:lpstr>
      <vt:lpstr>Input!TermPaymentFrequency11</vt:lpstr>
      <vt:lpstr>Input!TermPaymentFrequency12</vt:lpstr>
      <vt:lpstr>Input!TermPaymentFrequency21</vt:lpstr>
      <vt:lpstr>Input!TermPaymentFrequency22</vt:lpstr>
      <vt:lpstr>TermRealPlatformFee11</vt:lpstr>
      <vt:lpstr>TermRealPlatformFee12</vt:lpstr>
      <vt:lpstr>TermRealPlatformFee21</vt:lpstr>
      <vt:lpstr>TermRealPlatformFee22</vt:lpstr>
      <vt:lpstr>TermRealPlatformFeeInput11</vt:lpstr>
      <vt:lpstr>TermRealPlatformFeeInput12</vt:lpstr>
      <vt:lpstr>TermRealPlatformFeeInput21</vt:lpstr>
      <vt:lpstr>TermRealPlatformFeeInput22</vt:lpstr>
      <vt:lpstr>'Test Sheet'!TestData</vt:lpstr>
      <vt:lpstr>Testing</vt:lpstr>
      <vt:lpstr>TestSheet</vt:lpstr>
      <vt:lpstr>TestSheetOptimisedPensionPayment</vt:lpstr>
      <vt:lpstr>TestSheetOtherIncome</vt:lpstr>
      <vt:lpstr>TestSim</vt:lpstr>
      <vt:lpstr>theTermRemaining11</vt:lpstr>
      <vt:lpstr>theTermRemaining12</vt:lpstr>
      <vt:lpstr>theTermRemaining21</vt:lpstr>
      <vt:lpstr>theTermRemaining22</vt:lpstr>
      <vt:lpstr>TotalAdvisorFees</vt:lpstr>
      <vt:lpstr>TotalAnnuityDeemed</vt:lpstr>
      <vt:lpstr>TotalAnnuityPmt</vt:lpstr>
      <vt:lpstr>TotalRCV</vt:lpstr>
      <vt:lpstr>Input!TotalResidualBalance</vt:lpstr>
      <vt:lpstr>TotalSuperAssets</vt:lpstr>
      <vt:lpstr>TypeDetReturns</vt:lpstr>
      <vt:lpstr>UpperDeemingRate</vt:lpstr>
      <vt:lpstr>UpperPercentile</vt:lpstr>
      <vt:lpstr>'Test Sheet'!ValDate</vt:lpstr>
      <vt:lpstr>Input!ValuationDate</vt:lpstr>
      <vt:lpstr>ValuationDatePortA</vt:lpstr>
      <vt:lpstr>ValuationDatePortB</vt:lpstr>
      <vt:lpstr>VDeterministicScenarioOutput</vt:lpstr>
      <vt:lpstr>VicSuperAdminFee</vt:lpstr>
      <vt:lpstr>'Deterministic Output VicSup'!VMarketA</vt:lpstr>
      <vt:lpstr>'Deterministic Output VicSup'!VMarketB</vt:lpstr>
      <vt:lpstr>VMarketC</vt:lpstr>
      <vt:lpstr>VoluntaryCommutationValue</vt:lpstr>
      <vt:lpstr>VoluntaryOrDeath</vt:lpstr>
      <vt:lpstr>VScenarioA</vt:lpstr>
      <vt:lpstr>VScenarioB</vt:lpstr>
      <vt:lpstr>VScenarioC</vt:lpstr>
      <vt:lpstr>Input!WithdrawalGuaranteePercentage11</vt:lpstr>
      <vt:lpstr>WithdrawalGuaranteePercentage13</vt:lpstr>
      <vt:lpstr>Input!WithdrawalGuaranteePercentage21</vt:lpstr>
      <vt:lpstr>WithdrawalGuaranteePercentage23</vt:lpstr>
      <vt:lpstr>WithdrawalPeriod11</vt:lpstr>
      <vt:lpstr>WithdrawalPeriod12</vt:lpstr>
      <vt:lpstr>'Test Sheet'!WithdrawalPeriod13</vt:lpstr>
      <vt:lpstr>WithdrawalPeriod13</vt:lpstr>
      <vt:lpstr>WithdrawalPeriod21</vt:lpstr>
      <vt:lpstr>WithdrawalPeriod22</vt:lpstr>
      <vt:lpstr>'Test Sheet'!WithdrawalPeriod23</vt:lpstr>
      <vt:lpstr>WithdrawalPeriod23</vt:lpstr>
      <vt:lpstr>WorkBonus</vt:lpstr>
      <vt:lpstr>WorkBonus1</vt:lpstr>
      <vt:lpstr>WorkBonus2</vt:lpstr>
      <vt:lpstr>WorkBonusAmtP1</vt:lpstr>
      <vt:lpstr>WorkBonusAmtP2</vt:lpstr>
      <vt:lpstr>YearsDeferredIncrease</vt:lpstr>
      <vt:lpstr>Input!YearsIncome1</vt:lpstr>
      <vt:lpstr>Input!YearsIncome2</vt:lpstr>
      <vt:lpstr>YearsOfGuarantee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Hennington</dc:creator>
  <cp:lastModifiedBy>James Jackson</cp:lastModifiedBy>
  <cp:lastPrinted>2016-10-20T03:55:26Z</cp:lastPrinted>
  <dcterms:created xsi:type="dcterms:W3CDTF">2013-12-15T03:48:31Z</dcterms:created>
  <dcterms:modified xsi:type="dcterms:W3CDTF">2016-11-22T02:32:22Z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0x0101008F78342C6B6F4D4AA40296F7C5FF931A</vt:lpwstr>
  </property>
  <property fmtid="{D5CDD505-2E9C-101B-9397-08002B2CF9AE}" pid="3" name="_dlc_DocIdItemGuid">
    <vt:lpwstr>cc42ecf6-86df-43d6-9900-1208ae06f182</vt:lpwstr>
  </property>
</Properties>
</file>