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18720" windowHeight="11265"/>
  </bookViews>
  <sheets>
    <sheet name="Tax calc (2)" sheetId="2" r:id="rId1"/>
    <sheet name="Test Cases" sheetId="3" r:id="rId2"/>
  </sheets>
  <definedNames>
    <definedName name="TaxBrackets" localSheetId="0">'Tax calc (2)'!$B$38:$B$42</definedName>
    <definedName name="TaxBrackets">#REF!</definedName>
    <definedName name="TaxBracketsRates" localSheetId="0">'Tax calc (2)'!$B$38:$C$42</definedName>
    <definedName name="TaxBracketsRates">#REF!</definedName>
  </definedNames>
  <calcPr calcId="145621"/>
</workbook>
</file>

<file path=xl/calcChain.xml><?xml version="1.0" encoding="utf-8"?>
<calcChain xmlns="http://schemas.openxmlformats.org/spreadsheetml/2006/main">
  <c r="C107" i="2" l="1"/>
  <c r="D107" i="2"/>
  <c r="C25" i="2"/>
  <c r="B73" i="2" l="1"/>
  <c r="C128" i="2" l="1"/>
  <c r="D118" i="2"/>
  <c r="C117" i="2" l="1"/>
  <c r="C115" i="2" l="1"/>
  <c r="D119" i="2"/>
  <c r="D132" i="2"/>
  <c r="D103" i="2" l="1"/>
  <c r="B90" i="3" l="1"/>
  <c r="E69" i="3"/>
  <c r="E76" i="3" l="1"/>
  <c r="B76" i="3"/>
  <c r="B69" i="3"/>
  <c r="D50" i="2"/>
  <c r="D25" i="2"/>
  <c r="B83" i="3" l="1"/>
  <c r="G4" i="3"/>
  <c r="F4" i="3"/>
  <c r="B55" i="3" l="1"/>
  <c r="H48" i="3"/>
  <c r="E48" i="3"/>
  <c r="B48" i="3"/>
  <c r="B41" i="3"/>
  <c r="H34" i="3"/>
  <c r="E34" i="3"/>
  <c r="B34" i="3"/>
  <c r="H27" i="3"/>
  <c r="E27" i="3"/>
  <c r="B27" i="3"/>
  <c r="Q20" i="3"/>
  <c r="N20" i="3"/>
  <c r="K20" i="3"/>
  <c r="H20" i="3"/>
  <c r="E20" i="3"/>
  <c r="B20" i="3"/>
  <c r="C130" i="2" l="1"/>
  <c r="D131" i="2" l="1"/>
  <c r="C50" i="2"/>
  <c r="D28" i="2" l="1"/>
  <c r="C28" i="2"/>
  <c r="C114" i="2"/>
  <c r="D51" i="2"/>
  <c r="D23" i="2" s="1"/>
  <c r="C127" i="2"/>
  <c r="C73" i="2"/>
  <c r="C111" i="2"/>
  <c r="C110" i="2"/>
  <c r="C103" i="2"/>
  <c r="C51" i="2"/>
  <c r="C23" i="2" s="1"/>
  <c r="H118" i="2" l="1"/>
  <c r="D120" i="2"/>
  <c r="D122" i="2" s="1"/>
  <c r="C108" i="2"/>
  <c r="C106" i="2" s="1"/>
  <c r="D108" i="2"/>
  <c r="D106" i="2" s="1"/>
  <c r="G116" i="2"/>
  <c r="G118" i="2"/>
  <c r="H116" i="2"/>
  <c r="D42" i="2"/>
  <c r="D39" i="2"/>
  <c r="E42" i="2"/>
  <c r="E38" i="2"/>
  <c r="E39" i="2"/>
  <c r="E41" i="2"/>
  <c r="C85" i="2"/>
  <c r="D38" i="2"/>
  <c r="E40" i="2"/>
  <c r="D41" i="2"/>
  <c r="B85" i="2"/>
  <c r="D40" i="2"/>
  <c r="C68" i="2" l="1"/>
  <c r="C71" i="2" s="1"/>
  <c r="C79" i="2"/>
  <c r="C82" i="2" s="1"/>
  <c r="B79" i="2"/>
  <c r="B80" i="2" s="1"/>
  <c r="B68" i="2"/>
  <c r="B74" i="2" s="1"/>
  <c r="D133" i="2"/>
  <c r="D135" i="2" s="1"/>
  <c r="D44" i="2"/>
  <c r="C22" i="2" s="1"/>
  <c r="E44" i="2"/>
  <c r="D22" i="2" s="1"/>
  <c r="C83" i="2" l="1"/>
  <c r="C87" i="2" s="1"/>
  <c r="C80" i="2"/>
  <c r="H114" i="2"/>
  <c r="C134" i="2"/>
  <c r="C74" i="2"/>
  <c r="C69" i="2"/>
  <c r="C72" i="2" s="1"/>
  <c r="B82" i="2"/>
  <c r="B69" i="2"/>
  <c r="B72" i="2" s="1"/>
  <c r="B71" i="2"/>
  <c r="B83" i="2"/>
  <c r="B87" i="2" s="1"/>
  <c r="C121" i="2"/>
  <c r="H115" i="2"/>
  <c r="H117" i="2" s="1"/>
  <c r="G115" i="2"/>
  <c r="G117" i="2" s="1"/>
  <c r="C75" i="2" l="1"/>
  <c r="C88" i="2" s="1"/>
  <c r="B75" i="2"/>
  <c r="B90" i="2" s="1"/>
  <c r="G114" i="2"/>
  <c r="C129" i="2" s="1"/>
  <c r="C84" i="2" l="1"/>
  <c r="B86" i="2"/>
  <c r="B89" i="2" s="1"/>
  <c r="C90" i="2"/>
  <c r="C86" i="2"/>
  <c r="B88" i="2"/>
  <c r="B84" i="2"/>
  <c r="C131" i="2"/>
  <c r="C132" i="2"/>
  <c r="C116" i="2"/>
  <c r="C92" i="2" l="1"/>
  <c r="C94" i="2" s="1"/>
  <c r="D27" i="2" s="1"/>
  <c r="C89" i="2"/>
  <c r="B92" i="2" s="1"/>
  <c r="B94" i="2" s="1"/>
  <c r="C27" i="2" s="1"/>
  <c r="C118" i="2"/>
  <c r="C119" i="2" s="1"/>
  <c r="G112" i="2"/>
  <c r="C133" i="2" l="1"/>
  <c r="C135" i="2" s="1"/>
  <c r="C136" i="2" s="1"/>
  <c r="C120" i="2"/>
  <c r="C122" i="2" s="1"/>
  <c r="C123" i="2" l="1"/>
  <c r="D24" i="2"/>
  <c r="D26" i="2" s="1"/>
  <c r="D29" i="2" s="1"/>
  <c r="C24" i="2" l="1"/>
  <c r="C26" i="2" s="1"/>
  <c r="C29" i="2" s="1"/>
</calcChain>
</file>

<file path=xl/sharedStrings.xml><?xml version="1.0" encoding="utf-8"?>
<sst xmlns="http://schemas.openxmlformats.org/spreadsheetml/2006/main" count="344" uniqueCount="141">
  <si>
    <t>Couple?</t>
  </si>
  <si>
    <t>P1 age</t>
  </si>
  <si>
    <t>P2 age</t>
  </si>
  <si>
    <t>P1 qualifying age</t>
  </si>
  <si>
    <t>P2 qualifying age</t>
  </si>
  <si>
    <t>Person 1 taxable income:</t>
  </si>
  <si>
    <t>Spouses taxable income:</t>
  </si>
  <si>
    <t>Lower</t>
  </si>
  <si>
    <t>Upper</t>
  </si>
  <si>
    <t>Ordinary</t>
  </si>
  <si>
    <t>Levy rate</t>
  </si>
  <si>
    <t>SAPTO</t>
  </si>
  <si>
    <t>Ordinary family</t>
  </si>
  <si>
    <t>Family reduction rate</t>
  </si>
  <si>
    <t>SAPTO family</t>
  </si>
  <si>
    <t>Medicare derived from the Act</t>
  </si>
  <si>
    <t>Person1</t>
  </si>
  <si>
    <t>Person2</t>
  </si>
  <si>
    <t>Lower Threshold</t>
  </si>
  <si>
    <t>Upper Threshold</t>
  </si>
  <si>
    <t>Below lower threshold?</t>
  </si>
  <si>
    <t>In thresholds?</t>
  </si>
  <si>
    <t>Full Levy</t>
  </si>
  <si>
    <t>Limit</t>
  </si>
  <si>
    <t>Levy under Section 7</t>
  </si>
  <si>
    <t>get this 'but for' section 8</t>
  </si>
  <si>
    <t>Section 8 - spouse</t>
  </si>
  <si>
    <t>below lower family threshold?</t>
  </si>
  <si>
    <t>reduction amount</t>
  </si>
  <si>
    <t>levy if no 3 or 4</t>
  </si>
  <si>
    <t>proportion of income</t>
  </si>
  <si>
    <t>does 3 apply? = spouse would pay levy and get to subsection 2</t>
  </si>
  <si>
    <t>part of reduction amount</t>
  </si>
  <si>
    <t>levy if no 4</t>
  </si>
  <si>
    <t>does 4 apply? = 3 applies and amount of reduction from 3 &gt; levy from sect 7</t>
  </si>
  <si>
    <t>spouse reduction</t>
  </si>
  <si>
    <t>Levy under Sect 8</t>
  </si>
  <si>
    <t>Final Levy</t>
  </si>
  <si>
    <t>http://www.austlii.edu.au/au/legis/cth/consol_act/mla1986131/s7.html</t>
  </si>
  <si>
    <t>http://www.austlii.edu.au/au/legis/cth/consol_act/mla1986131/s8.html</t>
  </si>
  <si>
    <t>Person 1</t>
  </si>
  <si>
    <t>Person 2</t>
  </si>
  <si>
    <t>Gross Tax Brackets</t>
  </si>
  <si>
    <t>Tax Rate</t>
  </si>
  <si>
    <t>Single</t>
  </si>
  <si>
    <t>Tax =</t>
  </si>
  <si>
    <t>Medicare levy calculation</t>
  </si>
  <si>
    <t>reduction rate</t>
  </si>
  <si>
    <t xml:space="preserve">    </t>
  </si>
  <si>
    <t>Section 7 - individual</t>
  </si>
  <si>
    <t>Max tax offset threshold</t>
  </si>
  <si>
    <t>Above threshold no longer eligible</t>
  </si>
  <si>
    <t>Maximum tax offset</t>
  </si>
  <si>
    <t>SAPTO reduction rate</t>
  </si>
  <si>
    <t>Family</t>
  </si>
  <si>
    <t>SAPTO Couple reduction</t>
  </si>
  <si>
    <t>Individual in Family</t>
  </si>
  <si>
    <t>Low income tax offset</t>
  </si>
  <si>
    <t>P1 Rebate Threshold under 3A</t>
  </si>
  <si>
    <t>P1</t>
  </si>
  <si>
    <t>P2</t>
  </si>
  <si>
    <t>P2 Rebate threshold under 3A</t>
  </si>
  <si>
    <t>Rebate income</t>
  </si>
  <si>
    <t>LITO Threshold</t>
  </si>
  <si>
    <t>Tax free threshold</t>
  </si>
  <si>
    <t>Income threshold applicable</t>
  </si>
  <si>
    <t>Tax offset P1 ind</t>
  </si>
  <si>
    <t xml:space="preserve"> </t>
  </si>
  <si>
    <t>Tax offset P2 ind</t>
  </si>
  <si>
    <t>Income Stream Offset</t>
  </si>
  <si>
    <t>15% Rebate</t>
  </si>
  <si>
    <t>Thresholds and Rates</t>
  </si>
  <si>
    <t>Tax rates</t>
  </si>
  <si>
    <t>INPUTS</t>
  </si>
  <si>
    <t>TAX RESULTS</t>
  </si>
  <si>
    <t>Tax on income</t>
  </si>
  <si>
    <t>Tax Payable</t>
  </si>
  <si>
    <r>
      <rPr>
        <sz val="11"/>
        <color theme="1"/>
        <rFont val="Calibri"/>
        <family val="2"/>
        <scheme val="minor"/>
      </rPr>
      <t>plus</t>
    </r>
    <r>
      <rPr>
        <b/>
        <sz val="11"/>
        <color theme="1"/>
        <rFont val="Calibri"/>
        <family val="2"/>
        <scheme val="minor"/>
      </rPr>
      <t xml:space="preserve"> Medicare</t>
    </r>
  </si>
  <si>
    <r>
      <rPr>
        <sz val="11"/>
        <color theme="1"/>
        <rFont val="Calibri"/>
        <family val="2"/>
        <scheme val="minor"/>
      </rPr>
      <t xml:space="preserve">plus </t>
    </r>
    <r>
      <rPr>
        <b/>
        <sz val="11"/>
        <color theme="1"/>
        <rFont val="Calibri"/>
        <family val="2"/>
        <scheme val="minor"/>
      </rPr>
      <t>Debt Levy</t>
    </r>
  </si>
  <si>
    <t>Net Tax</t>
  </si>
  <si>
    <t>Income Tax Payable</t>
  </si>
  <si>
    <r>
      <t>less</t>
    </r>
    <r>
      <rPr>
        <b/>
        <sz val="11"/>
        <color theme="1"/>
        <rFont val="Calibri"/>
        <family val="2"/>
        <scheme val="minor"/>
      </rPr>
      <t xml:space="preserve"> Income Offset</t>
    </r>
  </si>
  <si>
    <r>
      <t xml:space="preserve">less </t>
    </r>
    <r>
      <rPr>
        <b/>
        <sz val="11"/>
        <color theme="1"/>
        <rFont val="Calibri"/>
        <family val="2"/>
        <scheme val="minor"/>
      </rPr>
      <t xml:space="preserve">SAPTO </t>
    </r>
  </si>
  <si>
    <t>Yes</t>
  </si>
  <si>
    <t>http://www.austlii.edu.au/au/legis/cth/consol_act/itra1986174/sch7.html</t>
  </si>
  <si>
    <t>http://www.austlii.edu.au/au/legis/cth/consol_act/itra1986174/s35.html    and     http://www.austlii.edu.au/au/legis/cth/num_act/tlabrla2014490/sch1.html</t>
  </si>
  <si>
    <t>http://www.austlii.edu.au/au/legis/cth/consol_act/itaa1997240/s301.25.html</t>
  </si>
  <si>
    <t>http://www.austlii.edu.au/au/legis/cth/consol_act/mla1986131/s6.html</t>
  </si>
  <si>
    <t>http://www.austlii.edu.au/au/legis/cth/consol_reg/itr1936225/s150ab.html</t>
  </si>
  <si>
    <t>http://www.austlii.edu.au/au/legis/cth/consol_act/itaa1936240/s160aaaa.html</t>
  </si>
  <si>
    <t>P1 pension income</t>
  </si>
  <si>
    <t>P2 pension income</t>
  </si>
  <si>
    <t>P1 pension tax free</t>
  </si>
  <si>
    <t>P2 pension tax free</t>
  </si>
  <si>
    <t xml:space="preserve">  nb: this is assuming all pensions held have same tax free %</t>
  </si>
  <si>
    <t>Person 1 Assessment</t>
  </si>
  <si>
    <t>Person 2 Assessment</t>
  </si>
  <si>
    <t>Amount (Reg 150AB)</t>
  </si>
  <si>
    <t>We assume a person is entitled to this rebate under S160AAA i.e. don't get other rebates</t>
  </si>
  <si>
    <t>SECT 160AAAA</t>
  </si>
  <si>
    <t>Eligible for SAPTO?</t>
  </si>
  <si>
    <t>Senior Australian Pensioners Tax Offset</t>
  </si>
  <si>
    <t>LITO Reduction Rate</t>
  </si>
  <si>
    <t>Low income tax offset max amount</t>
  </si>
  <si>
    <t>Pre-60 taxable pension income</t>
  </si>
  <si>
    <t>SAPTO P1:</t>
  </si>
  <si>
    <t>SAPTO P2:</t>
  </si>
  <si>
    <r>
      <rPr>
        <b/>
        <sz val="11"/>
        <color theme="1"/>
        <rFont val="Calibri"/>
        <family val="2"/>
        <scheme val="minor"/>
      </rPr>
      <t xml:space="preserve">Spouse Offset </t>
    </r>
    <r>
      <rPr>
        <sz val="11"/>
        <color theme="1"/>
        <rFont val="Calibri"/>
        <family val="2"/>
        <scheme val="minor"/>
      </rPr>
      <t xml:space="preserve">   http://www.austlii.edu.au/au/legis/cth/consol_reg/itr1936225/s150ae.html</t>
    </r>
  </si>
  <si>
    <t>Rebate Amount</t>
  </si>
  <si>
    <t>Affected by subregulation (2) - spouse offset?</t>
  </si>
  <si>
    <t>1(b) excess rebate</t>
  </si>
  <si>
    <t>2a</t>
  </si>
  <si>
    <t>Rebate Amount **</t>
  </si>
  <si>
    <t>after allowing for spouse offset</t>
  </si>
  <si>
    <t>add to other taxpayers rebate income</t>
  </si>
  <si>
    <t>excess rebate under subregulation 11</t>
  </si>
  <si>
    <t>assume subsection 3 does not apply and TP does not receive any items under 8</t>
  </si>
  <si>
    <t>spouse offset threshold</t>
  </si>
  <si>
    <t>is TP income &lt; 6000, if so get 1b</t>
  </si>
  <si>
    <t>exccess rebate under 12</t>
  </si>
  <si>
    <t>Spouse tax free pension pmts relates to disability, wife and carer pension pmts</t>
  </si>
  <si>
    <t>First tax rate</t>
  </si>
  <si>
    <t>Tax offset P2 couple</t>
  </si>
  <si>
    <t>without spouse offset</t>
  </si>
  <si>
    <t>Income</t>
  </si>
  <si>
    <t>Age?</t>
  </si>
  <si>
    <t>No</t>
  </si>
  <si>
    <t>LL</t>
  </si>
  <si>
    <t>MM</t>
  </si>
  <si>
    <t>ML</t>
  </si>
  <si>
    <t>HM</t>
  </si>
  <si>
    <t>HL</t>
  </si>
  <si>
    <t>HH</t>
  </si>
  <si>
    <t>COUPLE</t>
  </si>
  <si>
    <t>SINGLE</t>
  </si>
  <si>
    <r>
      <t xml:space="preserve">less </t>
    </r>
    <r>
      <rPr>
        <b/>
        <sz val="11"/>
        <color theme="1"/>
        <rFont val="Calibri"/>
        <family val="2"/>
        <scheme val="minor"/>
      </rPr>
      <t>LITO</t>
    </r>
  </si>
  <si>
    <t xml:space="preserve">add layer so that if outside individual threshold then get couple if couple else full </t>
  </si>
  <si>
    <t>6.21 SIS death benefit needs to be paid in LS, 3-6month probate</t>
  </si>
  <si>
    <t>Rebate income for eligibility</t>
  </si>
  <si>
    <t>Tax offset P1 couple</t>
  </si>
  <si>
    <t>https://www.ato.gov.au/Individuals/Tax-Return/2014/Before-you-start/Amounts-that-you-do-not-pay-tax-on/#H1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</si>
</sst>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0.0%"/>
    <numFmt numFmtId="166" formatCode="_-* #,##0.00_-;\-* #,##0.00_-;_-* &quot;-&quot;???_-;_-@_-"/>
    <numFmt numFmtId="167" formatCode="_-* #,##0_-;\-* #,##0_-;_-* &quot;-&quot;??_-;_-@_-"/>
    <numFmt numFmtId="168" formatCode="&quot;$&quot;#,##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9" fillId="0" borderId="0"/>
    <xf numFmtId="0" fontId="9" fillId="0" borderId="0"/>
    <xf numFmtId="0" fontId="8" fillId="0" borderId="0"/>
    <xf numFmtId="0" fontId="1" fillId="0" borderId="0"/>
    <xf numFmtId="0" fontId="10" fillId="0" borderId="0"/>
    <xf numFmtId="0" fontId="10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26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6" fontId="0" fillId="0" borderId="0" xfId="0" applyNumberFormat="1"/>
    <xf numFmtId="164" fontId="0" fillId="0" borderId="0" xfId="0" applyNumberFormat="1"/>
    <xf numFmtId="0" fontId="5" fillId="3" borderId="0" xfId="0" applyFont="1" applyFill="1"/>
    <xf numFmtId="6" fontId="4" fillId="3" borderId="0" xfId="0" applyNumberFormat="1" applyFont="1" applyFill="1"/>
    <xf numFmtId="0" fontId="4" fillId="3" borderId="0" xfId="0" applyFont="1" applyFill="1"/>
    <xf numFmtId="1" fontId="0" fillId="0" borderId="0" xfId="0" applyNumberFormat="1"/>
    <xf numFmtId="164" fontId="0" fillId="0" borderId="0" xfId="1" applyNumberFormat="1" applyFont="1"/>
    <xf numFmtId="0" fontId="4" fillId="3" borderId="0" xfId="0" applyFont="1" applyFill="1" applyAlignment="1">
      <alignment horizontal="right"/>
    </xf>
    <xf numFmtId="6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left"/>
    </xf>
    <xf numFmtId="1" fontId="4" fillId="0" borderId="0" xfId="0" applyNumberFormat="1" applyFont="1"/>
    <xf numFmtId="164" fontId="7" fillId="0" borderId="0" xfId="0" applyNumberFormat="1" applyFont="1"/>
    <xf numFmtId="0" fontId="7" fillId="0" borderId="0" xfId="0" applyFont="1"/>
    <xf numFmtId="9" fontId="0" fillId="0" borderId="0" xfId="2" applyFont="1" applyAlignment="1">
      <alignment horizontal="center"/>
    </xf>
    <xf numFmtId="44" fontId="0" fillId="0" borderId="0" xfId="0" applyNumberFormat="1"/>
    <xf numFmtId="0" fontId="2" fillId="0" borderId="0" xfId="0" applyFont="1" applyFill="1"/>
    <xf numFmtId="0" fontId="0" fillId="0" borderId="0" xfId="0" applyFill="1"/>
    <xf numFmtId="6" fontId="0" fillId="0" borderId="0" xfId="0" applyNumberFormat="1" applyFill="1"/>
    <xf numFmtId="164" fontId="0" fillId="0" borderId="0" xfId="0" applyNumberFormat="1" applyFill="1"/>
    <xf numFmtId="1" fontId="0" fillId="0" borderId="0" xfId="0" applyNumberFormat="1" applyFill="1"/>
    <xf numFmtId="0" fontId="11" fillId="0" borderId="0" xfId="0" applyFont="1"/>
    <xf numFmtId="164" fontId="0" fillId="4" borderId="0" xfId="0" applyNumberFormat="1" applyFill="1"/>
    <xf numFmtId="1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44" fontId="0" fillId="0" borderId="0" xfId="1" applyFont="1"/>
    <xf numFmtId="6" fontId="12" fillId="0" borderId="0" xfId="0" applyNumberFormat="1" applyFont="1"/>
    <xf numFmtId="166" fontId="0" fillId="0" borderId="0" xfId="0" applyNumberFormat="1"/>
    <xf numFmtId="8" fontId="3" fillId="0" borderId="0" xfId="0" applyNumberFormat="1" applyFont="1"/>
    <xf numFmtId="167" fontId="12" fillId="0" borderId="0" xfId="15" applyNumberFormat="1" applyFont="1"/>
    <xf numFmtId="9" fontId="0" fillId="0" borderId="0" xfId="0" applyNumberFormat="1"/>
    <xf numFmtId="10" fontId="0" fillId="0" borderId="0" xfId="0" applyNumberFormat="1"/>
    <xf numFmtId="1" fontId="0" fillId="0" borderId="0" xfId="0" applyNumberFormat="1" applyAlignment="1">
      <alignment horizontal="right"/>
    </xf>
    <xf numFmtId="9" fontId="4" fillId="3" borderId="0" xfId="2" applyFont="1" applyFill="1"/>
    <xf numFmtId="1" fontId="3" fillId="0" borderId="0" xfId="0" applyNumberFormat="1" applyFont="1"/>
    <xf numFmtId="0" fontId="7" fillId="0" borderId="0" xfId="0" applyFont="1" applyAlignment="1">
      <alignment wrapText="1"/>
    </xf>
    <xf numFmtId="0" fontId="6" fillId="4" borderId="0" xfId="0" applyFont="1" applyFill="1" applyAlignment="1">
      <alignment horizontal="center"/>
    </xf>
    <xf numFmtId="1" fontId="6" fillId="4" borderId="0" xfId="0" applyNumberFormat="1" applyFont="1" applyFill="1" applyAlignment="1">
      <alignment horizontal="center"/>
    </xf>
    <xf numFmtId="164" fontId="6" fillId="4" borderId="0" xfId="1" applyNumberFormat="1" applyFont="1" applyFill="1" applyAlignment="1">
      <alignment horizontal="center"/>
    </xf>
    <xf numFmtId="165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7" fontId="0" fillId="4" borderId="0" xfId="15" applyNumberFormat="1" applyFont="1" applyFill="1"/>
    <xf numFmtId="1" fontId="7" fillId="4" borderId="0" xfId="0" applyNumberFormat="1" applyFont="1" applyFill="1"/>
    <xf numFmtId="1" fontId="4" fillId="4" borderId="0" xfId="0" applyNumberFormat="1" applyFont="1" applyFill="1" applyAlignment="1">
      <alignment wrapText="1"/>
    </xf>
    <xf numFmtId="164" fontId="4" fillId="4" borderId="0" xfId="1" applyNumberFormat="1" applyFont="1" applyFill="1" applyAlignment="1">
      <alignment wrapText="1"/>
    </xf>
    <xf numFmtId="164" fontId="4" fillId="4" borderId="0" xfId="0" applyNumberFormat="1" applyFont="1" applyFill="1" applyAlignment="1">
      <alignment wrapText="1"/>
    </xf>
    <xf numFmtId="1" fontId="0" fillId="4" borderId="0" xfId="0" applyNumberFormat="1" applyFill="1" applyAlignment="1">
      <alignment horizontal="right"/>
    </xf>
    <xf numFmtId="0" fontId="4" fillId="3" borderId="0" xfId="0" applyFont="1" applyFill="1" applyAlignment="1">
      <alignment horizontal="center"/>
    </xf>
    <xf numFmtId="165" fontId="0" fillId="4" borderId="0" xfId="2" applyNumberFormat="1" applyFont="1" applyFill="1"/>
    <xf numFmtId="0" fontId="0" fillId="4" borderId="0" xfId="0" applyFill="1" applyAlignment="1">
      <alignment horizontal="left"/>
    </xf>
    <xf numFmtId="0" fontId="0" fillId="4" borderId="0" xfId="0" applyFill="1"/>
    <xf numFmtId="10" fontId="0" fillId="4" borderId="0" xfId="0" applyNumberFormat="1" applyFill="1"/>
    <xf numFmtId="0" fontId="0" fillId="0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quotePrefix="1" applyFill="1" applyAlignment="1">
      <alignment horizontal="right"/>
    </xf>
    <xf numFmtId="0" fontId="0" fillId="6" borderId="0" xfId="0" applyFill="1"/>
    <xf numFmtId="164" fontId="3" fillId="4" borderId="0" xfId="0" applyNumberFormat="1" applyFont="1" applyFill="1" applyAlignment="1">
      <alignment vertical="center"/>
    </xf>
    <xf numFmtId="0" fontId="0" fillId="4" borderId="0" xfId="0" applyFill="1" applyAlignment="1">
      <alignment horizontal="center"/>
    </xf>
    <xf numFmtId="0" fontId="4" fillId="0" borderId="0" xfId="0" applyFont="1" applyFill="1" applyAlignment="1">
      <alignment horizontal="left"/>
    </xf>
    <xf numFmtId="1" fontId="4" fillId="0" borderId="0" xfId="0" applyNumberFormat="1" applyFont="1" applyFill="1"/>
    <xf numFmtId="1" fontId="4" fillId="0" borderId="0" xfId="0" applyNumberFormat="1" applyFont="1" applyFill="1" applyAlignment="1">
      <alignment horizontal="center"/>
    </xf>
    <xf numFmtId="6" fontId="0" fillId="0" borderId="0" xfId="0" applyNumberFormat="1" applyAlignment="1">
      <alignment horizontal="right"/>
    </xf>
    <xf numFmtId="9" fontId="0" fillId="4" borderId="0" xfId="2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ont="1" applyFill="1"/>
    <xf numFmtId="0" fontId="3" fillId="0" borderId="0" xfId="0" applyFont="1" applyAlignment="1">
      <alignment horizontal="center"/>
    </xf>
    <xf numFmtId="0" fontId="6" fillId="0" borderId="0" xfId="0" applyFont="1" applyFill="1"/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6" fontId="0" fillId="0" borderId="0" xfId="0" applyNumberFormat="1" applyFont="1" applyAlignment="1">
      <alignment horizontal="center"/>
    </xf>
    <xf numFmtId="1" fontId="0" fillId="5" borderId="0" xfId="0" applyNumberFormat="1" applyFill="1"/>
    <xf numFmtId="1" fontId="3" fillId="5" borderId="0" xfId="0" applyNumberFormat="1" applyFont="1" applyFill="1"/>
    <xf numFmtId="6" fontId="0" fillId="5" borderId="0" xfId="0" applyNumberFormat="1" applyFill="1"/>
    <xf numFmtId="6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6" fillId="4" borderId="0" xfId="0" applyFont="1" applyFill="1"/>
    <xf numFmtId="6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right"/>
    </xf>
    <xf numFmtId="0" fontId="4" fillId="2" borderId="0" xfId="0" applyNumberFormat="1" applyFont="1" applyFill="1" applyAlignment="1">
      <alignment horizontal="center"/>
    </xf>
    <xf numFmtId="0" fontId="0" fillId="2" borderId="0" xfId="0" applyNumberFormat="1" applyFill="1" applyAlignment="1">
      <alignment horizontal="center"/>
    </xf>
    <xf numFmtId="6" fontId="0" fillId="2" borderId="0" xfId="0" applyNumberFormat="1" applyFill="1" applyAlignment="1">
      <alignment horizontal="center"/>
    </xf>
    <xf numFmtId="6" fontId="0" fillId="2" borderId="0" xfId="1" applyNumberFormat="1" applyFont="1" applyFill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0" xfId="1" applyNumberFormat="1" applyFont="1" applyFill="1" applyAlignment="1">
      <alignment horizontal="center"/>
    </xf>
    <xf numFmtId="1" fontId="6" fillId="0" borderId="0" xfId="0" applyNumberFormat="1" applyFont="1" applyFill="1" applyAlignment="1">
      <alignment horizontal="center"/>
    </xf>
    <xf numFmtId="164" fontId="6" fillId="0" borderId="0" xfId="1" applyNumberFormat="1" applyFont="1" applyFill="1" applyAlignment="1">
      <alignment horizontal="center"/>
    </xf>
    <xf numFmtId="0" fontId="6" fillId="4" borderId="0" xfId="0" applyFont="1" applyFill="1" applyAlignment="1">
      <alignment horizontal="right"/>
    </xf>
    <xf numFmtId="168" fontId="6" fillId="4" borderId="0" xfId="0" applyNumberFormat="1" applyFont="1" applyFill="1" applyAlignment="1">
      <alignment horizontal="center"/>
    </xf>
    <xf numFmtId="168" fontId="0" fillId="0" borderId="0" xfId="0" applyNumberFormat="1" applyAlignment="1">
      <alignment horizontal="center"/>
    </xf>
    <xf numFmtId="6" fontId="3" fillId="4" borderId="0" xfId="0" applyNumberFormat="1" applyFont="1" applyFill="1" applyAlignment="1">
      <alignment horizontal="center"/>
    </xf>
    <xf numFmtId="1" fontId="6" fillId="4" borderId="0" xfId="0" applyNumberFormat="1" applyFont="1" applyFill="1" applyAlignment="1">
      <alignment horizontal="left"/>
    </xf>
    <xf numFmtId="6" fontId="3" fillId="4" borderId="0" xfId="0" applyNumberFormat="1" applyFont="1" applyFill="1" applyAlignment="1">
      <alignment horizontal="left"/>
    </xf>
    <xf numFmtId="1" fontId="3" fillId="4" borderId="0" xfId="0" applyNumberFormat="1" applyFont="1" applyFill="1" applyAlignment="1">
      <alignment horizontal="center"/>
    </xf>
    <xf numFmtId="1" fontId="3" fillId="4" borderId="0" xfId="0" applyNumberFormat="1" applyFont="1" applyFill="1"/>
    <xf numFmtId="0" fontId="0" fillId="4" borderId="0" xfId="0" applyFill="1" applyAlignment="1">
      <alignment horizontal="right"/>
    </xf>
    <xf numFmtId="0" fontId="0" fillId="0" borderId="0" xfId="1" applyNumberFormat="1" applyFont="1" applyAlignment="1">
      <alignment horizontal="left"/>
    </xf>
    <xf numFmtId="0" fontId="3" fillId="4" borderId="0" xfId="0" applyFont="1" applyFill="1" applyAlignment="1">
      <alignment horizontal="center"/>
    </xf>
    <xf numFmtId="0" fontId="0" fillId="0" borderId="0" xfId="1" applyNumberFormat="1" applyFont="1" applyAlignment="1">
      <alignment horizontal="center"/>
    </xf>
    <xf numFmtId="1" fontId="13" fillId="0" borderId="0" xfId="16" applyNumberFormat="1" applyAlignment="1">
      <alignment vertical="center"/>
    </xf>
    <xf numFmtId="1" fontId="0" fillId="7" borderId="0" xfId="0" applyNumberFormat="1" applyFill="1" applyAlignment="1">
      <alignment horizontal="left"/>
    </xf>
    <xf numFmtId="1" fontId="6" fillId="7" borderId="0" xfId="0" applyNumberFormat="1" applyFont="1" applyFill="1" applyAlignment="1">
      <alignment horizontal="center"/>
    </xf>
    <xf numFmtId="164" fontId="6" fillId="7" borderId="0" xfId="1" applyNumberFormat="1" applyFont="1" applyFill="1" applyAlignment="1">
      <alignment horizontal="center"/>
    </xf>
    <xf numFmtId="0" fontId="6" fillId="7" borderId="0" xfId="0" applyFont="1" applyFill="1"/>
    <xf numFmtId="0" fontId="0" fillId="7" borderId="0" xfId="0" applyFill="1"/>
    <xf numFmtId="1" fontId="0" fillId="7" borderId="0" xfId="0" applyNumberFormat="1" applyFill="1" applyAlignment="1">
      <alignment horizontal="center"/>
    </xf>
    <xf numFmtId="0" fontId="7" fillId="0" borderId="0" xfId="0" applyFont="1" applyAlignment="1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1" fontId="0" fillId="0" borderId="0" xfId="15" applyNumberFormat="1" applyFont="1" applyAlignment="1">
      <alignment horizontal="right"/>
    </xf>
    <xf numFmtId="1" fontId="4" fillId="0" borderId="0" xfId="0" applyNumberFormat="1" applyFont="1" applyFill="1" applyAlignment="1">
      <alignment horizontal="right"/>
    </xf>
    <xf numFmtId="167" fontId="0" fillId="0" borderId="0" xfId="0" applyNumberFormat="1"/>
    <xf numFmtId="0" fontId="0" fillId="0" borderId="0" xfId="0" applyFill="1" applyAlignment="1">
      <alignment horizontal="right"/>
    </xf>
    <xf numFmtId="6" fontId="3" fillId="0" borderId="0" xfId="0" applyNumberFormat="1" applyFont="1" applyFill="1" applyAlignment="1">
      <alignment horizontal="center"/>
    </xf>
    <xf numFmtId="0" fontId="0" fillId="8" borderId="0" xfId="0" applyFill="1"/>
    <xf numFmtId="1" fontId="13" fillId="5" borderId="0" xfId="16" applyNumberFormat="1" applyFill="1"/>
  </cellXfs>
  <cellStyles count="17">
    <cellStyle name="Comma" xfId="15" builtinId="3"/>
    <cellStyle name="Comma 2" xfId="3"/>
    <cellStyle name="Comma 3" xfId="4"/>
    <cellStyle name="Currency" xfId="1" builtinId="4"/>
    <cellStyle name="Currency 2" xfId="5"/>
    <cellStyle name="Currency 3" xfId="6"/>
    <cellStyle name="Hyperlink" xfId="16" builtinId="8"/>
    <cellStyle name="Normal" xfId="0" builtinId="0"/>
    <cellStyle name="Normal 2" xfId="7"/>
    <cellStyle name="Normal 3" xfId="8"/>
    <cellStyle name="Normal 4" xfId="9"/>
    <cellStyle name="Normal 5" xfId="10"/>
    <cellStyle name="Normal 5 2" xfId="11"/>
    <cellStyle name="Normal 6" xfId="12"/>
    <cellStyle name="Percent" xfId="2" builtinId="5"/>
    <cellStyle name="Percent 2" xfId="13"/>
    <cellStyle name="Percent 3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ustlii.edu.au/au/legis/cth/consol_act/itaa1936240/s160aaaa.html" TargetMode="External"/><Relationship Id="rId2" Type="http://schemas.openxmlformats.org/officeDocument/2006/relationships/hyperlink" Target="http://www.austlii.edu.au/au/legis/cth/consol_reg/itr1936225/s150ab.html" TargetMode="External"/><Relationship Id="rId1" Type="http://schemas.openxmlformats.org/officeDocument/2006/relationships/hyperlink" Target="http://www.austlii.edu.au/au/legis/cth/consol_act/mla1986131/s8.htm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N137"/>
  <sheetViews>
    <sheetView tabSelected="1" topLeftCell="A88" workbookViewId="0">
      <selection activeCell="C106" sqref="C106"/>
    </sheetView>
  </sheetViews>
  <sheetFormatPr defaultRowHeight="15"/>
  <cols>
    <col min="1" max="1" width="4.5703125" customWidth="1"/>
    <col min="2" max="2" width="27.42578125" customWidth="1"/>
    <col min="3" max="3" width="16.7109375" style="4" customWidth="1"/>
    <col min="4" max="4" width="21.5703125" customWidth="1"/>
    <col min="5" max="5" width="16.85546875" customWidth="1"/>
    <col min="6" max="6" width="15.5703125" customWidth="1"/>
    <col min="7" max="7" width="14.28515625" customWidth="1"/>
    <col min="8" max="8" width="13.85546875" customWidth="1"/>
    <col min="9" max="9" width="8.140625" customWidth="1"/>
    <col min="10" max="10" width="26.7109375" customWidth="1"/>
    <col min="11" max="11" width="11.5703125" customWidth="1"/>
    <col min="12" max="12" width="25.42578125" customWidth="1"/>
    <col min="13" max="13" width="11.85546875" customWidth="1"/>
    <col min="14" max="14" width="13.85546875" customWidth="1"/>
    <col min="15" max="15" width="16.5703125" customWidth="1"/>
    <col min="16" max="16" width="12.28515625" customWidth="1"/>
    <col min="20" max="20" width="16.85546875" customWidth="1"/>
    <col min="21" max="21" width="20.140625" customWidth="1"/>
    <col min="22" max="22" width="11" bestFit="1" customWidth="1"/>
  </cols>
  <sheetData>
    <row r="2" spans="2:14" ht="18.75">
      <c r="B2" s="25" t="s">
        <v>73</v>
      </c>
    </row>
    <row r="3" spans="2:14">
      <c r="B3" s="29" t="s">
        <v>0</v>
      </c>
      <c r="C3" s="28" t="s">
        <v>83</v>
      </c>
      <c r="J3" s="20"/>
    </row>
    <row r="4" spans="2:14">
      <c r="B4" s="2" t="s">
        <v>1</v>
      </c>
      <c r="C4" s="28">
        <v>71</v>
      </c>
      <c r="K4" s="21"/>
      <c r="L4" s="21"/>
      <c r="M4" s="21"/>
      <c r="N4" s="21"/>
    </row>
    <row r="5" spans="2:14">
      <c r="B5" s="3" t="s">
        <v>2</v>
      </c>
      <c r="C5" s="86">
        <v>70</v>
      </c>
      <c r="K5" s="70"/>
      <c r="L5" s="71"/>
      <c r="M5" s="71"/>
      <c r="N5" s="21"/>
    </row>
    <row r="6" spans="2:14">
      <c r="B6" s="2" t="s">
        <v>3</v>
      </c>
      <c r="C6" s="87">
        <v>65</v>
      </c>
      <c r="K6" s="21"/>
      <c r="L6" s="21"/>
      <c r="M6" s="21"/>
      <c r="N6" s="59"/>
    </row>
    <row r="7" spans="2:14">
      <c r="B7" s="2" t="s">
        <v>4</v>
      </c>
      <c r="C7" s="87">
        <v>65</v>
      </c>
      <c r="K7" s="21"/>
      <c r="L7" s="21"/>
      <c r="M7" s="21"/>
      <c r="N7" s="59"/>
    </row>
    <row r="8" spans="2:14">
      <c r="B8" s="2"/>
      <c r="C8" s="75"/>
      <c r="K8" s="21"/>
      <c r="L8" s="21"/>
      <c r="M8" s="21"/>
      <c r="N8" s="59"/>
    </row>
    <row r="9" spans="2:14">
      <c r="B9" s="2" t="s">
        <v>5</v>
      </c>
      <c r="C9" s="88">
        <v>50849</v>
      </c>
      <c r="K9" s="72"/>
      <c r="L9" s="21"/>
      <c r="M9" s="21"/>
      <c r="N9" s="21"/>
    </row>
    <row r="10" spans="2:14">
      <c r="B10" s="2" t="s">
        <v>6</v>
      </c>
      <c r="C10" s="88">
        <v>47528</v>
      </c>
      <c r="K10" s="22"/>
      <c r="L10" s="22"/>
      <c r="M10" s="22"/>
      <c r="N10" s="21"/>
    </row>
    <row r="11" spans="2:14">
      <c r="B11" s="2"/>
      <c r="C11" s="75"/>
      <c r="K11" s="4"/>
      <c r="L11" s="4"/>
      <c r="M11" s="4"/>
    </row>
    <row r="12" spans="2:14">
      <c r="B12" s="68" t="s">
        <v>90</v>
      </c>
      <c r="C12" s="88">
        <v>0</v>
      </c>
      <c r="G12" s="5"/>
    </row>
    <row r="13" spans="2:14">
      <c r="B13" s="68" t="s">
        <v>91</v>
      </c>
      <c r="C13" s="89">
        <v>0</v>
      </c>
    </row>
    <row r="14" spans="2:14">
      <c r="B14" s="31"/>
      <c r="C14" s="75"/>
    </row>
    <row r="15" spans="2:14">
      <c r="B15" s="68" t="s">
        <v>92</v>
      </c>
      <c r="C15" s="90">
        <v>0</v>
      </c>
      <c r="D15" t="s">
        <v>94</v>
      </c>
    </row>
    <row r="16" spans="2:14">
      <c r="B16" s="68" t="s">
        <v>93</v>
      </c>
      <c r="C16" s="91">
        <v>0</v>
      </c>
    </row>
    <row r="17" spans="1:8">
      <c r="B17" s="31"/>
    </row>
    <row r="18" spans="1:8">
      <c r="G18" s="32"/>
      <c r="H18" s="32"/>
    </row>
    <row r="19" spans="1:8">
      <c r="H19" s="33"/>
    </row>
    <row r="20" spans="1:8" ht="18.75">
      <c r="B20" s="25" t="s">
        <v>74</v>
      </c>
    </row>
    <row r="21" spans="1:8" ht="18.75">
      <c r="B21" s="25"/>
      <c r="C21" s="12" t="s">
        <v>40</v>
      </c>
      <c r="D21" s="73" t="s">
        <v>41</v>
      </c>
    </row>
    <row r="22" spans="1:8">
      <c r="B22" s="1" t="s">
        <v>75</v>
      </c>
      <c r="C22" s="75">
        <f>D44</f>
        <v>8072.9250000000002</v>
      </c>
      <c r="D22" s="76">
        <f>E44</f>
        <v>6993.6</v>
      </c>
      <c r="E22" t="s">
        <v>137</v>
      </c>
    </row>
    <row r="23" spans="1:8">
      <c r="B23" t="s">
        <v>81</v>
      </c>
      <c r="C23" s="75">
        <f>C51</f>
        <v>0</v>
      </c>
      <c r="D23" s="75">
        <f>D51</f>
        <v>0</v>
      </c>
    </row>
    <row r="24" spans="1:8">
      <c r="B24" t="s">
        <v>82</v>
      </c>
      <c r="C24" s="75">
        <f>C123</f>
        <v>0</v>
      </c>
      <c r="D24" s="96">
        <f>C136</f>
        <v>0</v>
      </c>
    </row>
    <row r="25" spans="1:8">
      <c r="B25" t="s">
        <v>135</v>
      </c>
      <c r="C25" s="75">
        <f>IF(C9&lt;=G106,G108,MAX(0,G108-(C9-G106)*G107))</f>
        <v>237.26500000000001</v>
      </c>
      <c r="D25" s="75">
        <f>IF(C10&lt;=G106,G108,MAX(0,G108-(C10-G106)*G107))</f>
        <v>287.08000000000004</v>
      </c>
    </row>
    <row r="26" spans="1:8">
      <c r="B26" s="29" t="s">
        <v>79</v>
      </c>
      <c r="C26" s="12">
        <f>MAX(0,C22-C23-C24-C25)</f>
        <v>7835.66</v>
      </c>
      <c r="D26" s="12">
        <f>MAX(0,D22-D23-D24-D25)</f>
        <v>6706.52</v>
      </c>
    </row>
    <row r="27" spans="1:8">
      <c r="B27" s="1" t="s">
        <v>77</v>
      </c>
      <c r="C27" s="75">
        <f>B94</f>
        <v>1016.98</v>
      </c>
      <c r="D27" s="75">
        <f>C94</f>
        <v>950.56000000000006</v>
      </c>
    </row>
    <row r="28" spans="1:8">
      <c r="B28" s="1" t="s">
        <v>78</v>
      </c>
      <c r="C28" s="77">
        <f>IF(C9&gt;180000,0.02*C9-180000,0)</f>
        <v>0</v>
      </c>
      <c r="D28" s="77">
        <f>IF(C10&gt;180000,0.02*C10-180000,0)</f>
        <v>0</v>
      </c>
      <c r="E28" t="s">
        <v>85</v>
      </c>
    </row>
    <row r="29" spans="1:8">
      <c r="B29" s="85" t="s">
        <v>76</v>
      </c>
      <c r="C29" s="84">
        <f>C26+C27+C28</f>
        <v>8852.64</v>
      </c>
      <c r="D29" s="84">
        <f>D26+D27+D28</f>
        <v>7657.0800000000008</v>
      </c>
    </row>
    <row r="32" spans="1:8">
      <c r="A32" s="78"/>
      <c r="B32" s="79" t="s">
        <v>80</v>
      </c>
      <c r="C32" s="80"/>
      <c r="D32" s="78" t="s">
        <v>84</v>
      </c>
      <c r="E32" s="78"/>
      <c r="F32" s="78"/>
      <c r="G32" s="78"/>
      <c r="H32" s="78"/>
    </row>
    <row r="34" spans="1:10">
      <c r="B34" s="74" t="s">
        <v>72</v>
      </c>
      <c r="C34" s="74"/>
      <c r="D34" s="74"/>
      <c r="E34" s="74"/>
    </row>
    <row r="35" spans="1:10">
      <c r="B35" s="59">
        <v>2014</v>
      </c>
      <c r="C35" s="21"/>
      <c r="D35" s="21"/>
      <c r="E35" s="21"/>
    </row>
    <row r="36" spans="1:10">
      <c r="B36" s="64" t="s">
        <v>42</v>
      </c>
      <c r="C36" s="64" t="s">
        <v>43</v>
      </c>
      <c r="D36" s="42" t="s">
        <v>40</v>
      </c>
      <c r="E36" s="42" t="s">
        <v>41</v>
      </c>
    </row>
    <row r="37" spans="1:10">
      <c r="B37" s="64">
        <v>0</v>
      </c>
      <c r="C37" s="64"/>
    </row>
    <row r="38" spans="1:10">
      <c r="B38" s="64">
        <v>18200</v>
      </c>
      <c r="C38" s="69">
        <v>0</v>
      </c>
      <c r="D38">
        <f>IF($C$9&lt;B38,C38*MAX(0,($C$9-B37)),C38*(B38-B37))</f>
        <v>0</v>
      </c>
      <c r="E38">
        <f>IF($C$10&lt;B38,C38*MAX(0,($C$10-B37)),C38*(B38-B37))</f>
        <v>0</v>
      </c>
    </row>
    <row r="39" spans="1:10">
      <c r="B39" s="64">
        <v>37000</v>
      </c>
      <c r="C39" s="69">
        <v>0.19</v>
      </c>
      <c r="D39">
        <f>IF($C$9&lt;B39,C39*MAX(0,($C$9-B38)),C39*(B39-B38))</f>
        <v>3572</v>
      </c>
      <c r="E39">
        <f>IF($C$10&lt;B39,C39*MAX(0,($C$10-B38)),C39*(B39-B38))</f>
        <v>3572</v>
      </c>
      <c r="I39" s="35"/>
      <c r="J39" s="36"/>
    </row>
    <row r="40" spans="1:10">
      <c r="B40" s="64">
        <v>87000</v>
      </c>
      <c r="C40" s="69">
        <v>0.32500000000000001</v>
      </c>
      <c r="D40">
        <f t="shared" ref="D40:D41" si="0">IF($C$9&lt;B40,C40*MAX(0,($C$9-B39)),C40*(B40-B39))</f>
        <v>4500.9250000000002</v>
      </c>
      <c r="E40">
        <f>IF($C$10&lt;B40,C40*MAX(0,($C$10-B39)),C40*(B40-B39))</f>
        <v>3421.6</v>
      </c>
    </row>
    <row r="41" spans="1:10">
      <c r="B41" s="64">
        <v>180000</v>
      </c>
      <c r="C41" s="69">
        <v>0.37</v>
      </c>
      <c r="D41">
        <f t="shared" si="0"/>
        <v>0</v>
      </c>
      <c r="E41">
        <f>IF($C$10&lt;B41,C41*MAX(0,($C$10-B40)),C41*(B41-B40))</f>
        <v>0</v>
      </c>
    </row>
    <row r="42" spans="1:10">
      <c r="B42" s="64">
        <v>10000000000000</v>
      </c>
      <c r="C42" s="69">
        <v>0.45</v>
      </c>
      <c r="D42">
        <f>IF($C$9&lt;B42,C42*MAX(0,($C$9-B41)),C42*(B42-B41))</f>
        <v>0</v>
      </c>
      <c r="E42">
        <f>IF($C$10&lt;B42,C42*MAX(0,($C$10-B41)),C42*(B42-B41))</f>
        <v>0</v>
      </c>
    </row>
    <row r="44" spans="1:10">
      <c r="C44" s="29" t="s">
        <v>45</v>
      </c>
      <c r="D44" s="34">
        <f>SUM(D38:D42)</f>
        <v>8072.9250000000002</v>
      </c>
      <c r="E44" s="34">
        <f>SUM(E38:E42)</f>
        <v>6993.6</v>
      </c>
    </row>
    <row r="45" spans="1:10">
      <c r="E45" s="5"/>
      <c r="F45" s="9"/>
      <c r="G45" s="9"/>
      <c r="H45" s="10"/>
    </row>
    <row r="46" spans="1:10">
      <c r="C46" s="5"/>
      <c r="D46" s="5"/>
      <c r="E46" s="5"/>
      <c r="F46" s="9"/>
      <c r="G46" s="9"/>
      <c r="H46" s="10"/>
    </row>
    <row r="47" spans="1:10">
      <c r="A47" s="78"/>
      <c r="B47" s="79" t="s">
        <v>69</v>
      </c>
      <c r="C47" s="80"/>
      <c r="D47" s="78" t="s">
        <v>86</v>
      </c>
      <c r="E47" s="78"/>
      <c r="F47" s="78"/>
      <c r="G47" s="78"/>
      <c r="H47" s="78"/>
    </row>
    <row r="48" spans="1:10">
      <c r="C48" s="37"/>
      <c r="E48" t="s">
        <v>48</v>
      </c>
    </row>
    <row r="49" spans="1:8">
      <c r="A49" s="5"/>
      <c r="C49" s="42" t="s">
        <v>40</v>
      </c>
      <c r="D49" s="42" t="s">
        <v>41</v>
      </c>
    </row>
    <row r="50" spans="1:8">
      <c r="A50" s="5"/>
      <c r="B50" s="3" t="s">
        <v>104</v>
      </c>
      <c r="C50" s="77">
        <f>IF(C4&gt;=60,0,C12*(1-C15))</f>
        <v>0</v>
      </c>
      <c r="D50" s="77">
        <f>IF(C5&gt;=60,0,C13*(1-C16))</f>
        <v>0</v>
      </c>
    </row>
    <row r="51" spans="1:8">
      <c r="B51" s="102" t="s">
        <v>70</v>
      </c>
      <c r="C51" s="97">
        <f>0.15*C50</f>
        <v>0</v>
      </c>
      <c r="D51" s="97">
        <f>0.15*D50</f>
        <v>0</v>
      </c>
      <c r="E51" s="9"/>
      <c r="F51" s="5"/>
    </row>
    <row r="52" spans="1:8">
      <c r="A52" s="5"/>
      <c r="B52" s="122"/>
      <c r="C52" s="123"/>
      <c r="D52" s="123"/>
      <c r="E52" s="9"/>
      <c r="F52" s="5"/>
      <c r="H52" s="2"/>
    </row>
    <row r="53" spans="1:8">
      <c r="A53" s="9"/>
      <c r="B53" s="122"/>
      <c r="C53" s="123"/>
      <c r="D53" s="123"/>
      <c r="E53" s="9"/>
      <c r="F53" s="5"/>
      <c r="G53" s="5"/>
      <c r="H53" s="5"/>
    </row>
    <row r="54" spans="1:8">
      <c r="A54" s="9"/>
      <c r="B54" s="9"/>
      <c r="D54" s="9"/>
      <c r="E54" s="9"/>
      <c r="F54" s="5"/>
      <c r="G54" s="5"/>
      <c r="H54" s="5"/>
    </row>
    <row r="55" spans="1:8">
      <c r="A55" s="78"/>
      <c r="B55" s="79" t="s">
        <v>15</v>
      </c>
      <c r="C55" s="80"/>
      <c r="D55" s="78" t="s">
        <v>87</v>
      </c>
      <c r="E55" s="78"/>
      <c r="F55" s="78"/>
      <c r="G55" s="78"/>
      <c r="H55" s="78"/>
    </row>
    <row r="56" spans="1:8">
      <c r="A56" s="9"/>
      <c r="D56" s="9"/>
      <c r="E56" s="9"/>
      <c r="F56" s="5"/>
      <c r="G56" s="5"/>
      <c r="H56" s="5"/>
    </row>
    <row r="57" spans="1:8">
      <c r="A57" s="9"/>
      <c r="D57" s="9"/>
      <c r="E57" s="9"/>
      <c r="F57" s="5"/>
      <c r="G57" s="5"/>
      <c r="H57" s="5"/>
    </row>
    <row r="58" spans="1:8" ht="15.75">
      <c r="A58" s="9"/>
      <c r="B58" s="6" t="s">
        <v>46</v>
      </c>
      <c r="C58" s="7"/>
      <c r="D58" s="8"/>
      <c r="E58" s="8"/>
      <c r="F58" s="8"/>
      <c r="G58" s="8"/>
      <c r="H58" s="5"/>
    </row>
    <row r="59" spans="1:8">
      <c r="A59" s="9"/>
      <c r="B59" s="8"/>
      <c r="C59" s="54" t="s">
        <v>7</v>
      </c>
      <c r="D59" s="54" t="s">
        <v>8</v>
      </c>
      <c r="E59" s="8"/>
      <c r="F59" s="8"/>
      <c r="G59" s="8"/>
      <c r="H59" s="5"/>
    </row>
    <row r="60" spans="1:8">
      <c r="A60" s="9"/>
      <c r="B60" s="8" t="s">
        <v>9</v>
      </c>
      <c r="C60" s="54">
        <v>21335</v>
      </c>
      <c r="D60" s="54">
        <v>26668</v>
      </c>
      <c r="E60" s="8"/>
      <c r="F60" s="11" t="s">
        <v>10</v>
      </c>
      <c r="G60" s="39">
        <v>0.02</v>
      </c>
      <c r="H60" s="5"/>
    </row>
    <row r="61" spans="1:8">
      <c r="A61" s="9"/>
      <c r="B61" s="8" t="s">
        <v>11</v>
      </c>
      <c r="C61" s="54">
        <v>33738</v>
      </c>
      <c r="D61" s="54">
        <v>42172</v>
      </c>
      <c r="E61" s="8"/>
      <c r="F61" s="11" t="s">
        <v>47</v>
      </c>
      <c r="G61" s="39">
        <v>0.1</v>
      </c>
      <c r="H61" s="5"/>
    </row>
    <row r="62" spans="1:8">
      <c r="A62" s="9"/>
      <c r="B62" s="8" t="s">
        <v>12</v>
      </c>
      <c r="C62" s="54">
        <v>36001</v>
      </c>
      <c r="D62" s="54">
        <v>45001</v>
      </c>
      <c r="E62" s="8"/>
      <c r="F62" s="11" t="s">
        <v>13</v>
      </c>
      <c r="G62" s="39">
        <v>0.08</v>
      </c>
      <c r="H62" s="5"/>
    </row>
    <row r="63" spans="1:8">
      <c r="A63" s="9"/>
      <c r="B63" s="8" t="s">
        <v>14</v>
      </c>
      <c r="C63" s="54">
        <v>46966</v>
      </c>
      <c r="D63" s="54">
        <v>58707</v>
      </c>
      <c r="E63" s="8"/>
      <c r="F63" s="8"/>
      <c r="G63" s="8"/>
      <c r="H63" s="5"/>
    </row>
    <row r="64" spans="1:8">
      <c r="A64" s="9"/>
      <c r="D64" s="9"/>
      <c r="E64" s="9"/>
      <c r="F64" s="5"/>
      <c r="G64" s="5"/>
      <c r="H64" s="5"/>
    </row>
    <row r="65" spans="1:14">
      <c r="A65" s="9"/>
      <c r="D65" s="9"/>
      <c r="E65" s="9"/>
      <c r="F65" s="5"/>
      <c r="G65" s="5"/>
      <c r="H65" s="5"/>
    </row>
    <row r="66" spans="1:14" ht="24.75" customHeight="1">
      <c r="A66" s="82" t="s">
        <v>49</v>
      </c>
      <c r="B66" s="116"/>
      <c r="C66" s="81"/>
      <c r="D66" s="82" t="s">
        <v>38</v>
      </c>
      <c r="E66" s="9"/>
      <c r="F66" s="5"/>
      <c r="G66" s="5"/>
      <c r="H66" s="5"/>
    </row>
    <row r="67" spans="1:14">
      <c r="A67" s="9"/>
      <c r="B67" s="100" t="s">
        <v>16</v>
      </c>
      <c r="C67" s="97" t="s">
        <v>17</v>
      </c>
      <c r="D67" s="9"/>
      <c r="E67" s="9"/>
      <c r="F67" s="5"/>
      <c r="G67" s="5"/>
      <c r="H67" s="5"/>
    </row>
    <row r="68" spans="1:14">
      <c r="A68" s="9"/>
      <c r="B68" s="13">
        <f>IF(NOT(C106),C60,C61)</f>
        <v>21335</v>
      </c>
      <c r="C68" s="13">
        <f>IF(NOT(D106),C60,C61)</f>
        <v>21335</v>
      </c>
      <c r="D68" s="9" t="s">
        <v>18</v>
      </c>
      <c r="E68" s="9"/>
      <c r="F68" s="5"/>
      <c r="G68" s="5"/>
      <c r="H68" s="5"/>
    </row>
    <row r="69" spans="1:14">
      <c r="A69" s="9"/>
      <c r="B69" s="13">
        <f>VLOOKUP(B68,C60:D61,2)</f>
        <v>26668</v>
      </c>
      <c r="C69" s="13">
        <f>VLOOKUP(C68,C60:D61,2)</f>
        <v>26668</v>
      </c>
      <c r="D69" s="9" t="s">
        <v>19</v>
      </c>
      <c r="E69" s="9"/>
      <c r="F69" s="5"/>
      <c r="G69" s="5"/>
      <c r="H69" s="5"/>
    </row>
    <row r="70" spans="1:14">
      <c r="B70" s="13"/>
      <c r="C70" s="13"/>
      <c r="D70" s="9"/>
      <c r="E70" s="9"/>
      <c r="F70" s="5"/>
      <c r="G70" s="5"/>
      <c r="H70" s="5"/>
    </row>
    <row r="71" spans="1:14">
      <c r="A71" s="9">
        <v>1</v>
      </c>
      <c r="B71" s="9" t="b">
        <f>C9&lt;=B68</f>
        <v>0</v>
      </c>
      <c r="C71" s="9" t="b">
        <f>C10&lt;=C68</f>
        <v>0</v>
      </c>
      <c r="D71" s="9" t="s">
        <v>20</v>
      </c>
      <c r="E71" s="9"/>
      <c r="F71" s="5"/>
      <c r="G71" s="5"/>
      <c r="H71" s="5"/>
    </row>
    <row r="72" spans="1:14">
      <c r="A72" s="9">
        <v>2</v>
      </c>
      <c r="B72" s="9" t="b">
        <f>AND(C9&gt;B68,C9&lt;=B69)</f>
        <v>0</v>
      </c>
      <c r="C72" s="9" t="b">
        <f>AND(C10&gt;C68,C10&lt;=C69)</f>
        <v>0</v>
      </c>
      <c r="D72" s="9" t="s">
        <v>21</v>
      </c>
      <c r="E72" s="9"/>
      <c r="F72" s="5"/>
      <c r="G72" s="5"/>
      <c r="H72" s="5"/>
    </row>
    <row r="73" spans="1:14">
      <c r="A73" s="9"/>
      <c r="B73" s="13">
        <f>C9*G60</f>
        <v>1016.98</v>
      </c>
      <c r="C73" s="13">
        <f>C10*G60</f>
        <v>950.56000000000006</v>
      </c>
      <c r="D73" s="9" t="s">
        <v>22</v>
      </c>
      <c r="E73" s="9"/>
      <c r="F73" s="5"/>
      <c r="G73" s="5"/>
      <c r="H73" s="5"/>
    </row>
    <row r="74" spans="1:14">
      <c r="A74" s="9"/>
      <c r="B74" s="13">
        <f>MAX(0,(C9-B68)*G61)</f>
        <v>2951.4</v>
      </c>
      <c r="C74" s="13">
        <f>MAX(0,(C10-C68)*G61)</f>
        <v>2619.3000000000002</v>
      </c>
      <c r="D74" s="9" t="s">
        <v>23</v>
      </c>
      <c r="E74" s="9"/>
      <c r="F74" s="5"/>
      <c r="G74" s="5"/>
      <c r="H74" s="5"/>
      <c r="I74" s="5"/>
      <c r="J74" s="40"/>
      <c r="K74" s="9"/>
      <c r="L74" s="10"/>
      <c r="M74" s="5"/>
    </row>
    <row r="75" spans="1:14">
      <c r="A75" s="9"/>
      <c r="B75" s="97">
        <f>IF(B71=TRUE,0,IF(B72=FALSE,B73,B74))</f>
        <v>1016.98</v>
      </c>
      <c r="C75" s="97">
        <f>IF(C71=TRUE,0,IF(C72=FALSE,C73,C74))</f>
        <v>950.56000000000006</v>
      </c>
      <c r="D75" s="98" t="s">
        <v>24</v>
      </c>
      <c r="E75" s="15" t="s">
        <v>25</v>
      </c>
      <c r="F75" s="16"/>
      <c r="G75" s="16"/>
      <c r="H75" s="16"/>
      <c r="I75" s="5"/>
      <c r="J75" s="9"/>
      <c r="K75" s="9"/>
      <c r="L75" s="10"/>
      <c r="M75" s="5"/>
    </row>
    <row r="76" spans="1:14">
      <c r="A76" s="9"/>
      <c r="C76" s="12"/>
      <c r="D76" s="14"/>
      <c r="E76" s="15"/>
      <c r="F76" s="16"/>
      <c r="G76" s="16"/>
      <c r="H76" s="16"/>
      <c r="I76" s="5"/>
      <c r="J76" s="9"/>
      <c r="K76" s="9"/>
      <c r="L76" s="10"/>
      <c r="M76" s="5"/>
    </row>
    <row r="77" spans="1:14" s="17" customFormat="1" ht="31.5" customHeight="1">
      <c r="A77" s="115" t="s">
        <v>26</v>
      </c>
      <c r="B77" s="113"/>
      <c r="C77" s="81"/>
      <c r="D77" s="106" t="s">
        <v>39</v>
      </c>
      <c r="E77" s="82"/>
      <c r="F77" s="5"/>
      <c r="G77" s="5"/>
      <c r="H77" s="5"/>
      <c r="I77" s="16"/>
      <c r="N77" s="41"/>
    </row>
    <row r="78" spans="1:14">
      <c r="A78" s="9"/>
      <c r="B78" s="100" t="s">
        <v>16</v>
      </c>
      <c r="C78" s="97" t="s">
        <v>17</v>
      </c>
      <c r="D78" s="9"/>
      <c r="E78" s="9"/>
      <c r="F78" s="5"/>
      <c r="G78" s="5"/>
      <c r="H78" s="5"/>
      <c r="I78" s="5"/>
    </row>
    <row r="79" spans="1:14">
      <c r="A79" s="9"/>
      <c r="B79" s="13">
        <f>IF(NOT(C106),C62,C63)</f>
        <v>36001</v>
      </c>
      <c r="C79" s="13">
        <f>IF(NOT(D106),C62,C63)</f>
        <v>36001</v>
      </c>
      <c r="D79" s="9" t="s">
        <v>18</v>
      </c>
      <c r="E79" s="9"/>
      <c r="F79" s="5"/>
      <c r="G79" s="5"/>
      <c r="H79" s="5"/>
      <c r="I79" s="5"/>
    </row>
    <row r="80" spans="1:14">
      <c r="A80" s="9"/>
      <c r="B80" s="13">
        <f>VLOOKUP(B79,C62:D63,2)</f>
        <v>45001</v>
      </c>
      <c r="C80" s="13">
        <f>VLOOKUP(C79,C62:D63,2)</f>
        <v>45001</v>
      </c>
      <c r="D80" s="9" t="s">
        <v>19</v>
      </c>
      <c r="E80" s="9"/>
      <c r="F80" s="5"/>
      <c r="G80" s="5"/>
      <c r="H80" s="5"/>
      <c r="I80" s="5"/>
    </row>
    <row r="81" spans="1:9">
      <c r="A81" s="9"/>
      <c r="B81" s="13"/>
      <c r="C81" s="13"/>
      <c r="D81" s="9"/>
      <c r="E81" s="9"/>
      <c r="F81" s="5"/>
      <c r="G81" s="5"/>
      <c r="H81" s="5"/>
      <c r="I81" s="5"/>
    </row>
    <row r="82" spans="1:9" s="17" customFormat="1">
      <c r="A82" s="15">
        <v>1</v>
      </c>
      <c r="B82" s="9" t="b">
        <f>SUM(C9:C10)&lt;B79</f>
        <v>0</v>
      </c>
      <c r="C82" s="9" t="b">
        <f>SUM(C9:C10)&lt;C79</f>
        <v>0</v>
      </c>
      <c r="D82" s="9" t="s">
        <v>27</v>
      </c>
      <c r="E82" s="9"/>
      <c r="F82" s="5"/>
      <c r="G82" s="5"/>
      <c r="H82" s="5"/>
      <c r="I82" s="16"/>
    </row>
    <row r="83" spans="1:9">
      <c r="A83" s="9">
        <v>2</v>
      </c>
      <c r="B83" s="13">
        <f>MAX(0,G60*B79-(G62*(SUM(C9:C10)-B79)))</f>
        <v>0</v>
      </c>
      <c r="C83" s="13">
        <f>MAX(0,G60*C79-(G62*(SUM(C9:C10)-C79)))</f>
        <v>0</v>
      </c>
      <c r="D83" s="9" t="s">
        <v>28</v>
      </c>
      <c r="E83" s="9"/>
      <c r="F83" s="5"/>
      <c r="G83" s="5"/>
      <c r="H83" s="5"/>
      <c r="I83" s="5"/>
    </row>
    <row r="84" spans="1:9">
      <c r="B84" s="12">
        <f>MAX(0,B75-B83)</f>
        <v>1016.98</v>
      </c>
      <c r="C84" s="12">
        <f>MAX(0,C75-C83)</f>
        <v>950.56000000000006</v>
      </c>
      <c r="D84" s="9" t="s">
        <v>29</v>
      </c>
      <c r="E84" s="9"/>
      <c r="F84" s="5"/>
      <c r="G84" s="5"/>
      <c r="H84" s="5"/>
      <c r="I84" s="5"/>
    </row>
    <row r="85" spans="1:9">
      <c r="A85" s="9">
        <v>3</v>
      </c>
      <c r="B85" s="18">
        <f>C9/SUM(C9:C10)</f>
        <v>0.51687894528192568</v>
      </c>
      <c r="C85" s="18">
        <f>C10/SUM(C9:C10)</f>
        <v>0.48312105471807437</v>
      </c>
      <c r="D85" s="9" t="s">
        <v>30</v>
      </c>
      <c r="E85" s="9"/>
      <c r="F85" s="5"/>
      <c r="G85" s="5"/>
      <c r="H85" s="5"/>
      <c r="I85" s="5"/>
    </row>
    <row r="86" spans="1:9">
      <c r="A86" s="9"/>
      <c r="B86" s="13" t="b">
        <f>AND(B82=FALSE,C75&gt;0)</f>
        <v>1</v>
      </c>
      <c r="C86" s="13" t="b">
        <f>AND(C82=FALSE,B75&gt;0)</f>
        <v>1</v>
      </c>
      <c r="D86" s="9" t="s">
        <v>31</v>
      </c>
      <c r="E86" s="9"/>
      <c r="F86" s="5"/>
      <c r="G86" s="5"/>
      <c r="H86" s="5"/>
      <c r="I86" s="5"/>
    </row>
    <row r="87" spans="1:9">
      <c r="A87" s="9"/>
      <c r="B87" s="13">
        <f>B85*B83</f>
        <v>0</v>
      </c>
      <c r="C87" s="13">
        <f>C85*C83</f>
        <v>0</v>
      </c>
      <c r="D87" s="9" t="s">
        <v>32</v>
      </c>
      <c r="E87" s="9"/>
      <c r="F87" s="5"/>
      <c r="G87" s="5"/>
      <c r="H87" s="5"/>
      <c r="I87" s="5"/>
    </row>
    <row r="88" spans="1:9">
      <c r="B88" s="12">
        <f>MAX(0,B75-B87)</f>
        <v>1016.98</v>
      </c>
      <c r="C88" s="12">
        <f>MAX(0,C75-C87)</f>
        <v>950.56000000000006</v>
      </c>
      <c r="D88" s="9" t="s">
        <v>33</v>
      </c>
      <c r="E88" s="9"/>
      <c r="F88" s="5"/>
      <c r="G88" s="5"/>
      <c r="H88" s="5"/>
      <c r="I88" s="5"/>
    </row>
    <row r="89" spans="1:9">
      <c r="A89" s="9">
        <v>4</v>
      </c>
      <c r="B89" s="13" t="b">
        <f>AND(B86,B87&gt;B75)</f>
        <v>0</v>
      </c>
      <c r="C89" s="13" t="b">
        <f>AND(C86,C87&gt;C75)</f>
        <v>0</v>
      </c>
      <c r="D89" s="9" t="s">
        <v>34</v>
      </c>
      <c r="E89" s="9"/>
      <c r="F89" s="5"/>
      <c r="G89" s="19"/>
      <c r="H89" s="5"/>
      <c r="I89" s="5"/>
    </row>
    <row r="90" spans="1:9">
      <c r="A90" s="9"/>
      <c r="B90" s="13">
        <f>MAX(0,B87-B75)</f>
        <v>0</v>
      </c>
      <c r="C90" s="13">
        <f>MAX(0,C87-C75)</f>
        <v>0</v>
      </c>
      <c r="D90" s="9" t="s">
        <v>35</v>
      </c>
      <c r="E90" s="9"/>
      <c r="F90" s="5"/>
      <c r="G90" s="19"/>
      <c r="H90" s="5"/>
      <c r="I90" s="5"/>
    </row>
    <row r="91" spans="1:9">
      <c r="A91" s="9"/>
      <c r="B91" s="12"/>
      <c r="C91" s="12"/>
      <c r="D91" s="9"/>
      <c r="E91" s="9"/>
      <c r="F91" s="5"/>
      <c r="G91" s="19"/>
      <c r="H91" s="5"/>
      <c r="I91" s="5"/>
    </row>
    <row r="92" spans="1:9">
      <c r="A92" s="9"/>
      <c r="B92" s="97">
        <f>IF(B82,0,IF(B86,B88+IF(C89,C90,0),B84))</f>
        <v>1016.98</v>
      </c>
      <c r="C92" s="97">
        <f>IF(C82,0,IF(C86,C88+IF(B89,B90,0),C84))</f>
        <v>950.56000000000006</v>
      </c>
      <c r="D92" s="99" t="s">
        <v>36</v>
      </c>
      <c r="E92" s="9"/>
      <c r="F92" s="5"/>
      <c r="G92" s="19"/>
      <c r="H92" s="5"/>
      <c r="I92" s="5"/>
    </row>
    <row r="93" spans="1:9">
      <c r="A93" s="9"/>
      <c r="E93" s="9"/>
      <c r="F93" s="5"/>
      <c r="G93" s="5"/>
      <c r="H93" s="5"/>
      <c r="I93" s="5"/>
    </row>
    <row r="94" spans="1:9">
      <c r="A94" s="9"/>
      <c r="B94" s="97">
        <f>IF(C3="Yes",B92,B75)</f>
        <v>1016.98</v>
      </c>
      <c r="C94" s="97">
        <f>IF(C3="Yes",C92,C75)</f>
        <v>950.56000000000006</v>
      </c>
      <c r="D94" s="101" t="s">
        <v>37</v>
      </c>
      <c r="E94" s="9" t="s">
        <v>136</v>
      </c>
      <c r="F94" s="5"/>
      <c r="G94" s="5"/>
      <c r="H94" s="5"/>
      <c r="I94" s="5"/>
    </row>
    <row r="95" spans="1:9">
      <c r="A95" s="40"/>
      <c r="E95" s="9"/>
      <c r="F95" s="5"/>
      <c r="G95" s="5"/>
      <c r="H95" s="5"/>
      <c r="I95" s="5"/>
    </row>
    <row r="96" spans="1:9">
      <c r="A96" s="9"/>
      <c r="B96" s="9"/>
      <c r="D96" s="9"/>
      <c r="E96" s="9"/>
      <c r="F96" s="5"/>
      <c r="G96" s="5"/>
      <c r="H96" s="5"/>
      <c r="I96" s="5"/>
    </row>
    <row r="97" spans="1:13">
      <c r="A97" s="9"/>
      <c r="B97" s="9"/>
      <c r="D97" s="9"/>
      <c r="E97" s="9"/>
      <c r="F97" s="5"/>
      <c r="G97" s="5"/>
      <c r="H97" s="5"/>
      <c r="I97" s="5"/>
    </row>
    <row r="98" spans="1:13">
      <c r="A98" s="78"/>
      <c r="B98" s="79" t="s">
        <v>101</v>
      </c>
      <c r="C98" s="80"/>
      <c r="D98" s="125" t="s">
        <v>88</v>
      </c>
      <c r="E98" s="78"/>
      <c r="F98" s="78"/>
      <c r="G98" s="78"/>
      <c r="H98" s="78"/>
      <c r="I98" s="125" t="s">
        <v>89</v>
      </c>
      <c r="J98" s="78"/>
      <c r="K98" s="78"/>
      <c r="L98" s="78"/>
    </row>
    <row r="99" spans="1:13">
      <c r="A99" s="9"/>
      <c r="B99" s="9"/>
      <c r="D99" s="9"/>
      <c r="E99" s="9"/>
      <c r="F99" s="5"/>
      <c r="G99" s="5"/>
      <c r="H99" s="5"/>
      <c r="I99" s="5"/>
    </row>
    <row r="100" spans="1:13" ht="30">
      <c r="A100" s="9"/>
      <c r="B100" s="49"/>
      <c r="C100" s="50" t="s">
        <v>50</v>
      </c>
      <c r="D100" s="51" t="s">
        <v>51</v>
      </c>
      <c r="E100" s="52" t="s">
        <v>52</v>
      </c>
      <c r="F100" s="5"/>
      <c r="G100" s="63" t="s">
        <v>71</v>
      </c>
      <c r="H100" s="26"/>
      <c r="I100" s="26"/>
      <c r="J100" s="57"/>
    </row>
    <row r="101" spans="1:13">
      <c r="A101" s="9"/>
      <c r="B101" s="53" t="s">
        <v>44</v>
      </c>
      <c r="C101" s="48">
        <v>32279</v>
      </c>
      <c r="D101" s="48">
        <v>50119</v>
      </c>
      <c r="E101" s="48">
        <v>2230</v>
      </c>
      <c r="F101" s="5"/>
      <c r="G101" s="55">
        <v>0.125</v>
      </c>
      <c r="H101" s="56" t="s">
        <v>53</v>
      </c>
      <c r="I101" s="26"/>
      <c r="J101" s="57"/>
    </row>
    <row r="102" spans="1:13">
      <c r="A102" s="9"/>
      <c r="B102" s="53" t="s">
        <v>54</v>
      </c>
      <c r="C102" s="48">
        <v>57948</v>
      </c>
      <c r="D102" s="48">
        <v>83580</v>
      </c>
      <c r="E102" s="48">
        <v>1602</v>
      </c>
      <c r="F102" s="5"/>
      <c r="G102" s="55">
        <v>0.15</v>
      </c>
      <c r="H102" s="56" t="s">
        <v>55</v>
      </c>
      <c r="I102" s="26"/>
      <c r="J102" s="57"/>
    </row>
    <row r="103" spans="1:13">
      <c r="A103" s="9"/>
      <c r="B103" s="38" t="s">
        <v>56</v>
      </c>
      <c r="C103" s="10">
        <f>C102/2</f>
        <v>28974</v>
      </c>
      <c r="D103" s="10">
        <f>D102/2</f>
        <v>41790</v>
      </c>
      <c r="E103" s="5"/>
      <c r="F103" s="5"/>
      <c r="G103" s="21"/>
      <c r="H103" s="59"/>
      <c r="I103" s="23"/>
      <c r="J103" s="24"/>
    </row>
    <row r="104" spans="1:13">
      <c r="A104" s="9"/>
      <c r="B104" s="9"/>
      <c r="C104" s="9"/>
      <c r="D104" s="10"/>
      <c r="E104" s="5"/>
      <c r="F104" s="5"/>
      <c r="G104" s="60" t="s">
        <v>98</v>
      </c>
      <c r="H104" s="60"/>
      <c r="I104" s="61"/>
      <c r="J104" s="62"/>
      <c r="K104" s="60"/>
      <c r="L104" s="60"/>
    </row>
    <row r="105" spans="1:13">
      <c r="A105" s="9"/>
      <c r="B105" s="107" t="s">
        <v>99</v>
      </c>
      <c r="C105" s="108" t="s">
        <v>59</v>
      </c>
      <c r="D105" s="109" t="s">
        <v>60</v>
      </c>
      <c r="E105" s="16"/>
      <c r="H105" s="30"/>
    </row>
    <row r="106" spans="1:13">
      <c r="A106" s="9"/>
      <c r="B106" s="110" t="s">
        <v>100</v>
      </c>
      <c r="C106" s="108" t="b">
        <f>AND(C4&gt;=C6,C108&lt;C107)</f>
        <v>0</v>
      </c>
      <c r="D106" s="108" t="b">
        <f>AND(C5&gt;=C7,D108&lt;D107)</f>
        <v>0</v>
      </c>
      <c r="G106" s="57">
        <v>37000</v>
      </c>
      <c r="H106" s="56" t="s">
        <v>63</v>
      </c>
      <c r="I106" s="57"/>
      <c r="J106" s="57"/>
    </row>
    <row r="107" spans="1:13">
      <c r="A107" s="9"/>
      <c r="B107" s="111" t="s">
        <v>97</v>
      </c>
      <c r="C107" s="112">
        <f>(C115)/G101+D119</f>
        <v>41789.684210526313</v>
      </c>
      <c r="D107" s="112">
        <f>(C128)/G101+D132</f>
        <v>41789.684210526313</v>
      </c>
      <c r="E107" s="5"/>
      <c r="G107" s="58">
        <v>1.4999999999999999E-2</v>
      </c>
      <c r="H107" s="56" t="s">
        <v>102</v>
      </c>
      <c r="I107" s="57"/>
      <c r="J107" s="57"/>
      <c r="K107" s="9"/>
      <c r="L107" s="10"/>
      <c r="M107" s="5"/>
    </row>
    <row r="108" spans="1:13">
      <c r="B108" s="111" t="s">
        <v>138</v>
      </c>
      <c r="C108" s="112">
        <f>IF(C3="Yes",(C114+C127)/2,C114)</f>
        <v>49188.5</v>
      </c>
      <c r="D108" s="112">
        <f>IF(C3="Yes",(C127+C114)/2,C127)</f>
        <v>49188.5</v>
      </c>
      <c r="E108" s="5"/>
      <c r="G108" s="57">
        <v>445</v>
      </c>
      <c r="H108" s="56" t="s">
        <v>103</v>
      </c>
      <c r="I108" s="57"/>
      <c r="J108" s="57"/>
    </row>
    <row r="109" spans="1:13">
      <c r="C109" s="27"/>
      <c r="D109" s="27"/>
      <c r="E109" s="5"/>
      <c r="G109" s="57">
        <v>6000</v>
      </c>
      <c r="H109" s="56" t="s">
        <v>117</v>
      </c>
      <c r="I109" s="57"/>
      <c r="J109" s="57"/>
    </row>
    <row r="110" spans="1:13">
      <c r="B110" s="9" t="s">
        <v>121</v>
      </c>
      <c r="C110" s="45">
        <f>C39</f>
        <v>0.19</v>
      </c>
      <c r="D110" s="93"/>
      <c r="E110" s="5"/>
    </row>
    <row r="111" spans="1:13">
      <c r="B111" s="9" t="s">
        <v>64</v>
      </c>
      <c r="C111" s="13">
        <f>B38</f>
        <v>18200</v>
      </c>
      <c r="D111" s="93"/>
      <c r="E111" s="5"/>
      <c r="G111" s="57" t="s">
        <v>107</v>
      </c>
      <c r="H111" s="57"/>
      <c r="I111" s="57"/>
      <c r="J111" s="57"/>
      <c r="K111" s="57"/>
      <c r="L111" s="57"/>
    </row>
    <row r="112" spans="1:13">
      <c r="B112" s="74"/>
      <c r="C112" s="92"/>
      <c r="D112" s="93"/>
      <c r="E112" s="5"/>
      <c r="G112" t="str">
        <f>IF(AND(C106,D106),"","")</f>
        <v/>
      </c>
    </row>
    <row r="113" spans="2:12">
      <c r="B113" s="83" t="s">
        <v>95</v>
      </c>
      <c r="C113" s="43" t="s">
        <v>59</v>
      </c>
      <c r="D113" s="44"/>
      <c r="E113" s="5"/>
      <c r="G113" s="104" t="s">
        <v>59</v>
      </c>
      <c r="H113" s="104" t="s">
        <v>60</v>
      </c>
    </row>
    <row r="114" spans="2:12">
      <c r="B114" s="9" t="s">
        <v>62</v>
      </c>
      <c r="C114" s="27">
        <f>C9</f>
        <v>50849</v>
      </c>
      <c r="D114" s="13"/>
      <c r="E114" s="5"/>
      <c r="F114">
        <v>1</v>
      </c>
      <c r="G114" t="b">
        <f>AND(IF(C3="Yes",AND(C106,D106),C106),C115&gt;C22,D135&lt;C128)</f>
        <v>0</v>
      </c>
      <c r="H114" t="b">
        <f>AND(IF(C3="Yes",AND(C106,D106),D106),C128&gt;D22,D122&lt;C115)</f>
        <v>0</v>
      </c>
      <c r="I114" t="s">
        <v>109</v>
      </c>
    </row>
    <row r="115" spans="2:12">
      <c r="B115" s="9" t="s">
        <v>108</v>
      </c>
      <c r="C115" s="27">
        <f>IF($C$3="Yes",E102,E101)</f>
        <v>1602</v>
      </c>
      <c r="D115" s="13"/>
      <c r="E115" s="5"/>
      <c r="F115" s="2" t="s">
        <v>111</v>
      </c>
      <c r="G115" s="13">
        <f>MAX(0,C115-C22)</f>
        <v>0</v>
      </c>
      <c r="H115" s="13">
        <f>MAX(0,C128-D22)</f>
        <v>0</v>
      </c>
      <c r="I115" t="s">
        <v>110</v>
      </c>
    </row>
    <row r="116" spans="2:12">
      <c r="B116" s="9" t="s">
        <v>112</v>
      </c>
      <c r="C116" s="27">
        <f>IF(G114,C115-G115,C115)+IF(H114=FALSE,0,IF(H116,H117,H118))</f>
        <v>1602</v>
      </c>
      <c r="D116" s="114" t="s">
        <v>113</v>
      </c>
      <c r="E116" s="5"/>
      <c r="F116">
        <v>11</v>
      </c>
      <c r="G116" s="117" t="b">
        <f>C114&lt;G109</f>
        <v>0</v>
      </c>
      <c r="H116" s="117" t="b">
        <f>C127&lt;G109</f>
        <v>0</v>
      </c>
      <c r="I116" t="s">
        <v>118</v>
      </c>
    </row>
    <row r="117" spans="2:12">
      <c r="B117" s="9" t="s">
        <v>57</v>
      </c>
      <c r="C117" s="27">
        <f>IF($C$3="Yes",G108,0)</f>
        <v>445</v>
      </c>
      <c r="D117" s="13"/>
      <c r="E117" s="5"/>
      <c r="G117" s="27">
        <f>G115</f>
        <v>0</v>
      </c>
      <c r="H117" s="118">
        <f>H115</f>
        <v>0</v>
      </c>
      <c r="I117" t="s">
        <v>115</v>
      </c>
      <c r="J117" s="21"/>
      <c r="K117" t="s">
        <v>114</v>
      </c>
    </row>
    <row r="118" spans="2:12">
      <c r="B118" s="65" t="s">
        <v>58</v>
      </c>
      <c r="C118" s="67">
        <f>($B$38*$C$39+C117+C116+$B$39*(G107+$C$40-$C$39))/(G107+$C$40)</f>
        <v>32514.705882352941</v>
      </c>
      <c r="D118" s="120">
        <f>($B$38*$C$39+C117+C115+$B$39*(G107+$C$40-$C$39))/(G107+$C$40)</f>
        <v>32514.705882352941</v>
      </c>
      <c r="E118" s="5"/>
      <c r="F118">
        <v>12</v>
      </c>
      <c r="G118" s="46">
        <f>MAX(0,C115-((C114-G109)*G102))</f>
        <v>0</v>
      </c>
      <c r="H118" s="46">
        <f>MAX(0,C128-((C127-G109)*G102))</f>
        <v>0</v>
      </c>
      <c r="I118" s="21" t="s">
        <v>119</v>
      </c>
    </row>
    <row r="119" spans="2:12">
      <c r="B119" s="66" t="s">
        <v>65</v>
      </c>
      <c r="C119" s="67">
        <f>IF((C116+C117)/C110+C111&gt;G106,$C$118,(C116+C117)/C110+C111)</f>
        <v>28973.684210526313</v>
      </c>
      <c r="D119" s="120">
        <f>IF((C115+C117)/C110+C111&gt;G106,$D$118,(C115+C117)/C110+C111)</f>
        <v>28973.684210526313</v>
      </c>
      <c r="E119" s="5"/>
    </row>
    <row r="120" spans="2:12">
      <c r="B120" s="66" t="s">
        <v>28</v>
      </c>
      <c r="C120" s="67">
        <f>MAX((C114-C119)*G101,0)</f>
        <v>2734.4144736842109</v>
      </c>
      <c r="D120" s="120">
        <f>MAX((C114-D119)*G101,0)</f>
        <v>2734.4144736842109</v>
      </c>
      <c r="E120" s="5"/>
    </row>
    <row r="121" spans="2:12">
      <c r="B121" s="66" t="s">
        <v>66</v>
      </c>
      <c r="C121" s="67">
        <f>MIN(C22,ROUND(MAX(IF(C114&lt;C101,C115,IF(C114&gt;D101,0,C115-(C114-C101)*G101)),0),0))</f>
        <v>0</v>
      </c>
      <c r="D121" s="120"/>
      <c r="E121" s="5"/>
      <c r="G121" s="60" t="s">
        <v>116</v>
      </c>
      <c r="H121" s="60"/>
      <c r="I121" s="60"/>
      <c r="J121" s="60"/>
      <c r="K121" s="60"/>
      <c r="L121" s="60"/>
    </row>
    <row r="122" spans="2:12">
      <c r="B122" s="66" t="s">
        <v>139</v>
      </c>
      <c r="C122" s="67">
        <f>IF(C4&lt;C6,0,IF((C114+C127)&gt;D102,0,MAX(0,MIN(D44,C116-C120))))</f>
        <v>0</v>
      </c>
      <c r="D122" s="120">
        <f>IF(C4&lt;C6,0,IF((C114+C127)&gt;D102,0,MAX(0,C115-D120)))</f>
        <v>0</v>
      </c>
      <c r="E122" s="5" t="s">
        <v>123</v>
      </c>
    </row>
    <row r="123" spans="2:12">
      <c r="B123" s="94" t="s">
        <v>105</v>
      </c>
      <c r="C123" s="95">
        <f>IF(C106,IF(C3="no",C121,C122),0)</f>
        <v>0</v>
      </c>
      <c r="D123" s="44"/>
      <c r="E123" s="5" t="s">
        <v>67</v>
      </c>
      <c r="G123" s="60" t="s">
        <v>120</v>
      </c>
      <c r="H123" s="60"/>
      <c r="I123" s="60"/>
      <c r="J123" s="60"/>
      <c r="K123" s="60"/>
      <c r="L123" s="60"/>
    </row>
    <row r="124" spans="2:12">
      <c r="B124" s="9"/>
      <c r="C124" s="13"/>
      <c r="D124" s="10"/>
      <c r="E124" s="5"/>
      <c r="G124" t="s">
        <v>140</v>
      </c>
    </row>
    <row r="125" spans="2:12">
      <c r="B125" s="9"/>
      <c r="C125" s="9"/>
      <c r="D125" s="10"/>
      <c r="E125" s="5"/>
      <c r="G125" s="5"/>
    </row>
    <row r="126" spans="2:12">
      <c r="B126" s="83" t="s">
        <v>96</v>
      </c>
      <c r="C126" s="43" t="s">
        <v>60</v>
      </c>
      <c r="D126" s="44"/>
      <c r="E126" s="5"/>
    </row>
    <row r="127" spans="2:12">
      <c r="B127" s="9" t="s">
        <v>62</v>
      </c>
      <c r="C127" s="13">
        <f>C10</f>
        <v>47528</v>
      </c>
      <c r="D127" s="105"/>
      <c r="E127" s="5"/>
    </row>
    <row r="128" spans="2:12">
      <c r="B128" s="9" t="s">
        <v>108</v>
      </c>
      <c r="C128" s="13">
        <f>IF($C$3="Yes",E102,E101)</f>
        <v>1602</v>
      </c>
      <c r="D128" s="105"/>
      <c r="E128" s="5"/>
    </row>
    <row r="129" spans="2:5">
      <c r="B129" s="9" t="s">
        <v>112</v>
      </c>
      <c r="C129" s="13">
        <f>IF(H114,C128-H115,C128)+IF(G114=FALSE,0,IF(G116,G117,G118))</f>
        <v>1602</v>
      </c>
      <c r="D129" s="103" t="s">
        <v>113</v>
      </c>
      <c r="E129" s="5"/>
    </row>
    <row r="130" spans="2:5">
      <c r="B130" s="9" t="s">
        <v>57</v>
      </c>
      <c r="C130" s="13">
        <f>IF($C$3="Yes",G108,0)</f>
        <v>445</v>
      </c>
      <c r="D130" s="47"/>
      <c r="E130" s="5"/>
    </row>
    <row r="131" spans="2:5">
      <c r="B131" s="59" t="s">
        <v>61</v>
      </c>
      <c r="C131" s="27">
        <f>($B$38*$C$39+C130+C129+$B$39*(G107+$C$40-$C$39))/(G107+$C$40)</f>
        <v>32514.705882352941</v>
      </c>
      <c r="D131" s="119">
        <f>($B$38*$C$39+C130+C128+$B$39*(G107+$C$40-$C$39))/(G107+$C$40)</f>
        <v>32514.705882352941</v>
      </c>
      <c r="E131" s="5"/>
    </row>
    <row r="132" spans="2:5">
      <c r="B132" s="9" t="s">
        <v>65</v>
      </c>
      <c r="C132" s="13">
        <f>IF((C129+C130)/C110+C111&gt;G106,C131,(C129+C130)/C110+C111)</f>
        <v>28973.684210526313</v>
      </c>
      <c r="D132" s="119">
        <f>IF((C128+C130)/C110+C111&gt;G106,D131,(C128+C130)/C110+C111)</f>
        <v>28973.684210526313</v>
      </c>
      <c r="E132" s="5"/>
    </row>
    <row r="133" spans="2:5">
      <c r="B133" s="9" t="s">
        <v>28</v>
      </c>
      <c r="C133" s="13">
        <f>MAX((C127-C132)*G101,0)</f>
        <v>2319.2894736842109</v>
      </c>
      <c r="D133" s="119">
        <f>MAX((C127-D132)*G101,0)</f>
        <v>2319.2894736842109</v>
      </c>
      <c r="E133" s="5"/>
    </row>
    <row r="134" spans="2:5">
      <c r="B134" s="9" t="s">
        <v>68</v>
      </c>
      <c r="C134" s="13">
        <f>MIN(D22,ROUND(MAX(IF(C127&lt;C101,C128,IF(C127&gt;D101,0,C128-(C127-C101)*G101)),0),0))</f>
        <v>0</v>
      </c>
      <c r="D134" s="119"/>
      <c r="E134" s="5"/>
    </row>
    <row r="135" spans="2:5">
      <c r="B135" s="66" t="s">
        <v>122</v>
      </c>
      <c r="C135" s="67">
        <f>IF(C5&lt;C7,0,IF((C127+C114)&gt;D102,0,MAX(0,MIN(E44,C129-C133))))</f>
        <v>0</v>
      </c>
      <c r="D135" s="119">
        <f>IF(C5&lt;C7,0,IF((C127+C114)&gt;D102,0,MAX(0,C128-D133)))</f>
        <v>0</v>
      </c>
      <c r="E135" s="5" t="s">
        <v>123</v>
      </c>
    </row>
    <row r="136" spans="2:5">
      <c r="B136" s="94" t="s">
        <v>106</v>
      </c>
      <c r="C136" s="95">
        <f>IF(D106,IF(C3="no",C134,C135),0)</f>
        <v>0</v>
      </c>
      <c r="D136" s="44"/>
    </row>
    <row r="137" spans="2:5">
      <c r="B137" s="9"/>
      <c r="C137" s="13"/>
      <c r="D137" s="10"/>
    </row>
  </sheetData>
  <dataValidations disablePrompts="1" count="1">
    <dataValidation type="list" allowBlank="1" showInputMessage="1" showErrorMessage="1" sqref="C3">
      <formula1>"Yes, No"</formula1>
    </dataValidation>
  </dataValidations>
  <hyperlinks>
    <hyperlink ref="D77" r:id="rId1"/>
    <hyperlink ref="D98" r:id="rId2"/>
    <hyperlink ref="I98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1"/>
  <sheetViews>
    <sheetView workbookViewId="0">
      <pane ySplit="6" topLeftCell="A19" activePane="bottomLeft" state="frozen"/>
      <selection pane="bottomLeft" activeCell="G3" sqref="G3"/>
    </sheetView>
  </sheetViews>
  <sheetFormatPr defaultRowHeight="15"/>
  <cols>
    <col min="1" max="1" width="16" customWidth="1"/>
  </cols>
  <sheetData>
    <row r="1" spans="1:18" ht="75">
      <c r="A1" s="6" t="s">
        <v>46</v>
      </c>
      <c r="B1" s="7"/>
      <c r="C1" s="8"/>
      <c r="E1" s="49"/>
      <c r="F1" s="50" t="s">
        <v>50</v>
      </c>
      <c r="G1" s="51" t="s">
        <v>51</v>
      </c>
    </row>
    <row r="2" spans="1:18">
      <c r="A2" s="8"/>
      <c r="B2" s="54" t="s">
        <v>7</v>
      </c>
      <c r="C2" s="54" t="s">
        <v>8</v>
      </c>
      <c r="E2" s="53" t="s">
        <v>44</v>
      </c>
      <c r="F2" s="48">
        <v>32279</v>
      </c>
      <c r="G2" s="48">
        <v>50119</v>
      </c>
    </row>
    <row r="3" spans="1:18">
      <c r="A3" s="8" t="s">
        <v>9</v>
      </c>
      <c r="B3" s="54">
        <v>20542</v>
      </c>
      <c r="C3" s="54">
        <v>24167</v>
      </c>
      <c r="E3" s="53" t="s">
        <v>54</v>
      </c>
      <c r="F3" s="48">
        <v>57948</v>
      </c>
      <c r="G3" s="48">
        <v>83580</v>
      </c>
    </row>
    <row r="4" spans="1:18">
      <c r="A4" s="8" t="s">
        <v>11</v>
      </c>
      <c r="B4" s="54">
        <v>32279</v>
      </c>
      <c r="C4" s="54">
        <v>37975</v>
      </c>
      <c r="E4" t="s">
        <v>56</v>
      </c>
      <c r="F4" s="121">
        <f>F3/2</f>
        <v>28974</v>
      </c>
      <c r="G4" s="121">
        <f>G3/2</f>
        <v>41790</v>
      </c>
    </row>
    <row r="5" spans="1:18">
      <c r="A5" s="8" t="s">
        <v>12</v>
      </c>
      <c r="B5" s="54">
        <v>34367</v>
      </c>
      <c r="C5" s="54">
        <v>40431</v>
      </c>
    </row>
    <row r="6" spans="1:18">
      <c r="A6" s="8" t="s">
        <v>14</v>
      </c>
      <c r="B6" s="54">
        <v>46000</v>
      </c>
      <c r="C6" s="54">
        <v>54117</v>
      </c>
    </row>
    <row r="9" spans="1:18">
      <c r="A9" s="1" t="s">
        <v>134</v>
      </c>
    </row>
    <row r="11" spans="1:18">
      <c r="A11" t="s">
        <v>124</v>
      </c>
      <c r="B11" s="124">
        <v>19000</v>
      </c>
      <c r="D11" s="124">
        <v>25000</v>
      </c>
      <c r="F11" s="124">
        <v>35000</v>
      </c>
      <c r="H11" s="124">
        <v>22000</v>
      </c>
      <c r="J11" s="124">
        <v>34000</v>
      </c>
      <c r="L11" s="124">
        <v>38000</v>
      </c>
      <c r="N11" s="124">
        <v>25000</v>
      </c>
      <c r="P11" s="124">
        <v>52000</v>
      </c>
      <c r="R11" s="124">
        <v>59000</v>
      </c>
    </row>
    <row r="12" spans="1:18">
      <c r="A12" t="s">
        <v>125</v>
      </c>
      <c r="B12" t="s">
        <v>126</v>
      </c>
      <c r="D12" t="s">
        <v>83</v>
      </c>
      <c r="F12" t="s">
        <v>83</v>
      </c>
      <c r="H12" t="s">
        <v>126</v>
      </c>
      <c r="J12" t="s">
        <v>126</v>
      </c>
      <c r="L12" t="s">
        <v>83</v>
      </c>
      <c r="N12" t="s">
        <v>126</v>
      </c>
      <c r="P12" t="s">
        <v>83</v>
      </c>
      <c r="R12" t="s">
        <v>126</v>
      </c>
    </row>
    <row r="13" spans="1:18">
      <c r="B13" t="s">
        <v>127</v>
      </c>
      <c r="D13" t="s">
        <v>127</v>
      </c>
      <c r="F13" t="s">
        <v>128</v>
      </c>
      <c r="H13" t="s">
        <v>129</v>
      </c>
      <c r="J13" t="s">
        <v>130</v>
      </c>
      <c r="L13" t="s">
        <v>130</v>
      </c>
      <c r="N13" t="s">
        <v>131</v>
      </c>
      <c r="P13" t="s">
        <v>132</v>
      </c>
      <c r="R13" t="s">
        <v>132</v>
      </c>
    </row>
    <row r="15" spans="1:18">
      <c r="A15" s="1" t="s">
        <v>133</v>
      </c>
    </row>
    <row r="17" spans="1:18">
      <c r="A17" t="s">
        <v>124</v>
      </c>
      <c r="B17" s="124">
        <v>20400</v>
      </c>
      <c r="C17" s="124">
        <v>20400</v>
      </c>
      <c r="E17" s="124">
        <v>21000</v>
      </c>
      <c r="F17" s="124">
        <v>20000</v>
      </c>
      <c r="H17" s="124">
        <v>25000</v>
      </c>
      <c r="I17" s="124">
        <v>19000</v>
      </c>
      <c r="K17" s="124">
        <v>21000</v>
      </c>
      <c r="L17" s="124">
        <v>22000</v>
      </c>
      <c r="N17" s="124">
        <v>21000</v>
      </c>
      <c r="O17" s="124">
        <v>26000</v>
      </c>
      <c r="Q17" s="124">
        <v>25000</v>
      </c>
      <c r="R17" s="124">
        <v>26000</v>
      </c>
    </row>
    <row r="18" spans="1:18">
      <c r="A18" t="s">
        <v>125</v>
      </c>
      <c r="B18" t="s">
        <v>126</v>
      </c>
      <c r="C18" t="s">
        <v>126</v>
      </c>
      <c r="E18" t="s">
        <v>126</v>
      </c>
      <c r="F18" t="s">
        <v>126</v>
      </c>
      <c r="H18" t="s">
        <v>126</v>
      </c>
      <c r="I18" t="s">
        <v>126</v>
      </c>
      <c r="K18" t="s">
        <v>126</v>
      </c>
      <c r="L18" t="s">
        <v>126</v>
      </c>
      <c r="N18" t="s">
        <v>126</v>
      </c>
      <c r="O18" t="s">
        <v>126</v>
      </c>
      <c r="Q18" t="s">
        <v>126</v>
      </c>
      <c r="R18" t="s">
        <v>126</v>
      </c>
    </row>
    <row r="19" spans="1:18">
      <c r="B19" t="s">
        <v>127</v>
      </c>
      <c r="C19" t="s">
        <v>127</v>
      </c>
      <c r="E19" t="s">
        <v>129</v>
      </c>
      <c r="F19" t="s">
        <v>127</v>
      </c>
      <c r="H19" t="s">
        <v>131</v>
      </c>
      <c r="I19" t="s">
        <v>127</v>
      </c>
      <c r="K19" t="s">
        <v>129</v>
      </c>
      <c r="L19" t="s">
        <v>129</v>
      </c>
      <c r="N19" t="s">
        <v>129</v>
      </c>
      <c r="O19" t="s">
        <v>131</v>
      </c>
      <c r="Q19" t="s">
        <v>131</v>
      </c>
      <c r="R19" t="s">
        <v>131</v>
      </c>
    </row>
    <row r="20" spans="1:18">
      <c r="B20">
        <f>B17+C17</f>
        <v>40800</v>
      </c>
      <c r="E20">
        <f>E17+F17</f>
        <v>41000</v>
      </c>
      <c r="H20">
        <f>H17+I17</f>
        <v>44000</v>
      </c>
      <c r="K20">
        <f>K17+L17</f>
        <v>43000</v>
      </c>
      <c r="N20">
        <f>N17+O17</f>
        <v>47000</v>
      </c>
      <c r="Q20">
        <f>Q17+R17</f>
        <v>51000</v>
      </c>
    </row>
    <row r="21" spans="1:18">
      <c r="B21" t="s">
        <v>131</v>
      </c>
      <c r="E21" t="s">
        <v>131</v>
      </c>
      <c r="H21" t="s">
        <v>131</v>
      </c>
      <c r="K21" t="s">
        <v>131</v>
      </c>
      <c r="N21" t="s">
        <v>131</v>
      </c>
      <c r="Q21" t="s">
        <v>131</v>
      </c>
    </row>
    <row r="24" spans="1:18">
      <c r="A24" t="s">
        <v>124</v>
      </c>
      <c r="B24" s="124">
        <v>19000</v>
      </c>
      <c r="C24" s="124">
        <v>19000</v>
      </c>
      <c r="E24" s="124">
        <v>20480</v>
      </c>
      <c r="F24" s="124">
        <v>18000</v>
      </c>
      <c r="H24" s="124">
        <v>24500</v>
      </c>
      <c r="I24" s="124">
        <v>15000</v>
      </c>
    </row>
    <row r="25" spans="1:18">
      <c r="A25" t="s">
        <v>125</v>
      </c>
      <c r="B25" t="s">
        <v>126</v>
      </c>
      <c r="C25" t="s">
        <v>126</v>
      </c>
      <c r="E25" t="s">
        <v>126</v>
      </c>
      <c r="F25" t="s">
        <v>126</v>
      </c>
      <c r="H25" t="s">
        <v>126</v>
      </c>
      <c r="I25" t="s">
        <v>126</v>
      </c>
    </row>
    <row r="26" spans="1:18">
      <c r="B26" t="s">
        <v>127</v>
      </c>
      <c r="C26" t="s">
        <v>127</v>
      </c>
      <c r="E26" t="s">
        <v>129</v>
      </c>
      <c r="F26" t="s">
        <v>127</v>
      </c>
      <c r="H26" t="s">
        <v>131</v>
      </c>
      <c r="I26" t="s">
        <v>127</v>
      </c>
    </row>
    <row r="27" spans="1:18">
      <c r="B27">
        <f>B24+C24</f>
        <v>38000</v>
      </c>
      <c r="E27">
        <f>E24+F24</f>
        <v>38480</v>
      </c>
      <c r="H27">
        <f>H24+I24</f>
        <v>39500</v>
      </c>
    </row>
    <row r="28" spans="1:18">
      <c r="B28" t="s">
        <v>129</v>
      </c>
      <c r="E28" t="s">
        <v>129</v>
      </c>
      <c r="H28" t="s">
        <v>129</v>
      </c>
    </row>
    <row r="31" spans="1:18">
      <c r="A31" t="s">
        <v>124</v>
      </c>
      <c r="B31" s="124">
        <v>19000</v>
      </c>
      <c r="C31" s="124">
        <v>15000</v>
      </c>
      <c r="E31" s="124">
        <v>20480</v>
      </c>
      <c r="F31" s="124">
        <v>12000</v>
      </c>
      <c r="H31" s="124">
        <v>24500</v>
      </c>
      <c r="I31" s="124">
        <v>8000</v>
      </c>
    </row>
    <row r="32" spans="1:18">
      <c r="A32" t="s">
        <v>125</v>
      </c>
      <c r="B32" t="s">
        <v>126</v>
      </c>
      <c r="C32" t="s">
        <v>126</v>
      </c>
      <c r="E32" t="s">
        <v>126</v>
      </c>
      <c r="F32" t="s">
        <v>126</v>
      </c>
      <c r="H32" t="s">
        <v>126</v>
      </c>
      <c r="I32" t="s">
        <v>126</v>
      </c>
    </row>
    <row r="33" spans="1:9">
      <c r="B33" t="s">
        <v>127</v>
      </c>
      <c r="C33" t="s">
        <v>127</v>
      </c>
      <c r="E33" t="s">
        <v>129</v>
      </c>
      <c r="F33" t="s">
        <v>127</v>
      </c>
      <c r="H33" t="s">
        <v>131</v>
      </c>
      <c r="I33" t="s">
        <v>127</v>
      </c>
    </row>
    <row r="34" spans="1:9">
      <c r="B34">
        <f>B31+C31</f>
        <v>34000</v>
      </c>
      <c r="E34">
        <f>E31+F31</f>
        <v>32480</v>
      </c>
      <c r="H34">
        <f>H31+I31</f>
        <v>32500</v>
      </c>
    </row>
    <row r="35" spans="1:9">
      <c r="B35" t="s">
        <v>127</v>
      </c>
      <c r="E35" t="s">
        <v>127</v>
      </c>
      <c r="H35" t="s">
        <v>127</v>
      </c>
    </row>
    <row r="38" spans="1:9">
      <c r="A38" t="s">
        <v>124</v>
      </c>
      <c r="B38" s="124">
        <v>32200</v>
      </c>
      <c r="C38" s="124">
        <v>32200</v>
      </c>
    </row>
    <row r="39" spans="1:9">
      <c r="A39" t="s">
        <v>125</v>
      </c>
      <c r="B39" t="s">
        <v>126</v>
      </c>
      <c r="C39" t="s">
        <v>126</v>
      </c>
    </row>
    <row r="40" spans="1:9">
      <c r="B40" t="s">
        <v>131</v>
      </c>
      <c r="C40" t="s">
        <v>131</v>
      </c>
    </row>
    <row r="41" spans="1:9">
      <c r="B41">
        <f>B38+C38</f>
        <v>64400</v>
      </c>
    </row>
    <row r="42" spans="1:9">
      <c r="B42" t="s">
        <v>130</v>
      </c>
    </row>
    <row r="45" spans="1:9">
      <c r="A45" t="s">
        <v>124</v>
      </c>
      <c r="B45" s="124">
        <v>27000</v>
      </c>
      <c r="C45" s="124">
        <v>28000</v>
      </c>
      <c r="E45" s="124">
        <v>24000</v>
      </c>
      <c r="F45" s="124">
        <v>28000</v>
      </c>
      <c r="H45" s="124">
        <v>18000</v>
      </c>
      <c r="I45" s="124">
        <v>18000</v>
      </c>
    </row>
    <row r="46" spans="1:9">
      <c r="A46" t="s">
        <v>125</v>
      </c>
      <c r="B46" t="s">
        <v>83</v>
      </c>
      <c r="C46" t="s">
        <v>83</v>
      </c>
      <c r="E46" t="s">
        <v>83</v>
      </c>
      <c r="F46" t="s">
        <v>83</v>
      </c>
      <c r="H46" t="s">
        <v>83</v>
      </c>
      <c r="I46" t="s">
        <v>83</v>
      </c>
    </row>
    <row r="47" spans="1:9">
      <c r="B47" t="s">
        <v>127</v>
      </c>
      <c r="C47" t="s">
        <v>127</v>
      </c>
      <c r="E47" t="s">
        <v>127</v>
      </c>
      <c r="F47" t="s">
        <v>127</v>
      </c>
      <c r="H47" t="s">
        <v>127</v>
      </c>
      <c r="I47" t="s">
        <v>127</v>
      </c>
    </row>
    <row r="48" spans="1:9">
      <c r="B48">
        <f>B45+C45</f>
        <v>55000</v>
      </c>
      <c r="E48">
        <f>E45+F45</f>
        <v>52000</v>
      </c>
      <c r="H48">
        <f>H45+I45</f>
        <v>36000</v>
      </c>
    </row>
    <row r="49" spans="1:12">
      <c r="B49" t="s">
        <v>131</v>
      </c>
      <c r="E49" t="s">
        <v>129</v>
      </c>
      <c r="H49" t="s">
        <v>127</v>
      </c>
    </row>
    <row r="52" spans="1:12">
      <c r="A52" t="s">
        <v>124</v>
      </c>
      <c r="B52" s="124">
        <v>32000</v>
      </c>
      <c r="C52" s="124">
        <v>32000</v>
      </c>
      <c r="E52" s="124">
        <v>40000</v>
      </c>
      <c r="F52" s="124">
        <v>42000</v>
      </c>
      <c r="H52" s="124">
        <v>44000</v>
      </c>
      <c r="I52" s="124">
        <v>42000</v>
      </c>
    </row>
    <row r="53" spans="1:12">
      <c r="A53" t="s">
        <v>125</v>
      </c>
      <c r="B53" t="s">
        <v>83</v>
      </c>
      <c r="C53" t="s">
        <v>83</v>
      </c>
      <c r="E53" t="s">
        <v>83</v>
      </c>
      <c r="F53" t="s">
        <v>83</v>
      </c>
      <c r="H53" t="s">
        <v>83</v>
      </c>
      <c r="I53" t="s">
        <v>83</v>
      </c>
    </row>
    <row r="54" spans="1:12">
      <c r="B54" t="s">
        <v>127</v>
      </c>
      <c r="C54" t="s">
        <v>127</v>
      </c>
      <c r="E54" t="s">
        <v>130</v>
      </c>
      <c r="F54" t="s">
        <v>130</v>
      </c>
      <c r="H54" t="s">
        <v>130</v>
      </c>
      <c r="I54" t="s">
        <v>130</v>
      </c>
    </row>
    <row r="55" spans="1:12">
      <c r="B55">
        <f>B52+C52</f>
        <v>64000</v>
      </c>
      <c r="E55">
        <v>82000</v>
      </c>
      <c r="H55">
        <v>86000</v>
      </c>
    </row>
    <row r="56" spans="1:12">
      <c r="B56" t="s">
        <v>130</v>
      </c>
      <c r="E56" t="s">
        <v>130</v>
      </c>
      <c r="H56" t="s">
        <v>132</v>
      </c>
    </row>
    <row r="59" spans="1:12">
      <c r="A59" t="s">
        <v>124</v>
      </c>
      <c r="E59" s="124">
        <v>36000</v>
      </c>
      <c r="F59" s="124">
        <v>37000</v>
      </c>
      <c r="H59" s="124">
        <v>44000</v>
      </c>
      <c r="I59" s="124">
        <v>35000</v>
      </c>
      <c r="K59" s="21"/>
      <c r="L59" s="21"/>
    </row>
    <row r="60" spans="1:12">
      <c r="A60" t="s">
        <v>125</v>
      </c>
      <c r="E60" t="s">
        <v>83</v>
      </c>
      <c r="F60" t="s">
        <v>126</v>
      </c>
      <c r="H60" t="s">
        <v>83</v>
      </c>
      <c r="I60" t="s">
        <v>126</v>
      </c>
    </row>
    <row r="61" spans="1:12">
      <c r="E61" t="s">
        <v>128</v>
      </c>
      <c r="F61" t="s">
        <v>130</v>
      </c>
      <c r="H61" t="s">
        <v>130</v>
      </c>
      <c r="I61" t="s">
        <v>130</v>
      </c>
    </row>
    <row r="62" spans="1:12">
      <c r="E62">
        <v>73000</v>
      </c>
      <c r="H62">
        <v>79000</v>
      </c>
    </row>
    <row r="63" spans="1:12">
      <c r="E63" t="s">
        <v>130</v>
      </c>
      <c r="F63" t="s">
        <v>130</v>
      </c>
      <c r="H63" t="s">
        <v>130</v>
      </c>
      <c r="I63" t="s">
        <v>130</v>
      </c>
    </row>
    <row r="66" spans="1:6">
      <c r="A66" t="s">
        <v>124</v>
      </c>
      <c r="B66" s="124">
        <v>15000</v>
      </c>
      <c r="C66" s="124">
        <v>15000</v>
      </c>
      <c r="E66" s="124">
        <v>10000</v>
      </c>
      <c r="F66" s="124">
        <v>21000</v>
      </c>
    </row>
    <row r="67" spans="1:6">
      <c r="A67" t="s">
        <v>125</v>
      </c>
      <c r="B67" t="s">
        <v>83</v>
      </c>
      <c r="C67" t="s">
        <v>126</v>
      </c>
      <c r="E67" t="s">
        <v>83</v>
      </c>
      <c r="F67" t="s">
        <v>126</v>
      </c>
    </row>
    <row r="68" spans="1:6">
      <c r="B68" t="s">
        <v>127</v>
      </c>
      <c r="C68" t="s">
        <v>127</v>
      </c>
      <c r="E68" t="s">
        <v>127</v>
      </c>
      <c r="F68" t="s">
        <v>129</v>
      </c>
    </row>
    <row r="69" spans="1:6">
      <c r="B69">
        <f>B66+C66</f>
        <v>30000</v>
      </c>
      <c r="E69">
        <f>E66+F66</f>
        <v>31000</v>
      </c>
    </row>
    <row r="70" spans="1:6">
      <c r="B70" t="s">
        <v>127</v>
      </c>
      <c r="C70" t="s">
        <v>127</v>
      </c>
      <c r="E70" t="s">
        <v>127</v>
      </c>
      <c r="F70" t="s">
        <v>127</v>
      </c>
    </row>
    <row r="73" spans="1:6">
      <c r="B73" s="124">
        <v>20500</v>
      </c>
      <c r="C73" s="124">
        <v>19000</v>
      </c>
      <c r="E73" s="124">
        <v>27000</v>
      </c>
      <c r="F73" s="124">
        <v>18000</v>
      </c>
    </row>
    <row r="74" spans="1:6">
      <c r="B74" t="s">
        <v>83</v>
      </c>
      <c r="C74" t="s">
        <v>126</v>
      </c>
      <c r="E74" t="s">
        <v>83</v>
      </c>
      <c r="F74" t="s">
        <v>126</v>
      </c>
    </row>
    <row r="75" spans="1:6">
      <c r="B75" t="s">
        <v>127</v>
      </c>
      <c r="C75" t="s">
        <v>127</v>
      </c>
      <c r="E75" t="s">
        <v>127</v>
      </c>
      <c r="F75" t="s">
        <v>127</v>
      </c>
    </row>
    <row r="76" spans="1:6">
      <c r="B76">
        <f>B73+C73</f>
        <v>39500</v>
      </c>
      <c r="E76">
        <f>E73+F73</f>
        <v>45000</v>
      </c>
    </row>
    <row r="77" spans="1:6">
      <c r="B77" t="s">
        <v>127</v>
      </c>
      <c r="C77" t="s">
        <v>129</v>
      </c>
      <c r="E77" t="s">
        <v>127</v>
      </c>
      <c r="F77" t="s">
        <v>131</v>
      </c>
    </row>
    <row r="80" spans="1:6">
      <c r="B80" s="124">
        <v>25000</v>
      </c>
      <c r="C80" s="124">
        <v>27000</v>
      </c>
    </row>
    <row r="81" spans="2:3">
      <c r="B81" t="s">
        <v>83</v>
      </c>
      <c r="C81" t="s">
        <v>126</v>
      </c>
    </row>
    <row r="82" spans="2:3">
      <c r="B82" t="s">
        <v>127</v>
      </c>
      <c r="C82" t="s">
        <v>127</v>
      </c>
    </row>
    <row r="83" spans="2:3">
      <c r="B83">
        <f>B80+C80</f>
        <v>52000</v>
      </c>
    </row>
    <row r="84" spans="2:3">
      <c r="B84" t="s">
        <v>129</v>
      </c>
      <c r="C84" t="s">
        <v>131</v>
      </c>
    </row>
    <row r="87" spans="2:3">
      <c r="B87" s="124">
        <v>50000</v>
      </c>
      <c r="C87" s="124">
        <v>50000</v>
      </c>
    </row>
    <row r="88" spans="2:3">
      <c r="B88" t="s">
        <v>83</v>
      </c>
      <c r="C88" t="s">
        <v>126</v>
      </c>
    </row>
    <row r="89" spans="2:3">
      <c r="B89" t="s">
        <v>132</v>
      </c>
      <c r="C89" t="s">
        <v>132</v>
      </c>
    </row>
    <row r="90" spans="2:3">
      <c r="B90">
        <f>B87+C87</f>
        <v>100000</v>
      </c>
    </row>
    <row r="91" spans="2:3">
      <c r="B91" t="s">
        <v>132</v>
      </c>
      <c r="C91" t="s">
        <v>132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Tax calc (2)</vt:lpstr>
      <vt:lpstr>Test Cases</vt:lpstr>
      <vt:lpstr>'Tax calc (2)'!TaxBrackets</vt:lpstr>
      <vt:lpstr>'Tax calc (2)'!TaxBracketsRates</vt:lpstr>
    </vt:vector>
  </TitlesOfParts>
  <Company>Challenger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Dunn</dc:creator>
  <cp:lastModifiedBy>James Jackson</cp:lastModifiedBy>
  <dcterms:created xsi:type="dcterms:W3CDTF">2014-09-05T02:13:31Z</dcterms:created>
  <dcterms:modified xsi:type="dcterms:W3CDTF">2016-11-22T02:31:49Z</dcterms:modified>
</cp:coreProperties>
</file>