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j25\Dropbox\3 Teaching\ENME 314\Labs\"/>
    </mc:Choice>
  </mc:AlternateContent>
  <bookViews>
    <workbookView xWindow="0" yWindow="0" windowWidth="28800" windowHeight="12300"/>
  </bookViews>
  <sheets>
    <sheet name="Measured data corrections" sheetId="24" r:id="rId1"/>
    <sheet name="Standard sphere data" sheetId="20" r:id="rId2"/>
    <sheet name="Properties of air" sheetId="19" r:id="rId3"/>
    <sheet name="Example" sheetId="22" r:id="rId4"/>
  </sheets>
  <calcPr calcId="162913"/>
</workbook>
</file>

<file path=xl/calcChain.xml><?xml version="1.0" encoding="utf-8"?>
<calcChain xmlns="http://schemas.openxmlformats.org/spreadsheetml/2006/main">
  <c r="Q3" i="20" l="1"/>
  <c r="Q2" i="20"/>
  <c r="Q4" i="20"/>
  <c r="Q5" i="20"/>
  <c r="Q6" i="20"/>
  <c r="Q7" i="20"/>
  <c r="Q8" i="20"/>
  <c r="Q9" i="20"/>
  <c r="G17" i="24"/>
  <c r="L17" i="24"/>
  <c r="Z17" i="24" l="1"/>
  <c r="T16" i="24"/>
  <c r="S16" i="24" s="1"/>
  <c r="B4" i="24" l="1"/>
  <c r="O16" i="24" s="1"/>
  <c r="Q16" i="24" s="1"/>
  <c r="D17" i="24"/>
  <c r="O17" i="24"/>
  <c r="D16" i="24"/>
  <c r="U16" i="24" s="1"/>
  <c r="B6" i="24"/>
  <c r="G16" i="24"/>
  <c r="Z16" i="24" s="1"/>
  <c r="P17" i="24"/>
  <c r="R8" i="24"/>
  <c r="W17" i="24"/>
  <c r="N17" i="24"/>
  <c r="B10" i="24"/>
  <c r="K17" i="24" s="1"/>
  <c r="B8" i="24"/>
  <c r="W16" i="24"/>
  <c r="P16" i="24"/>
  <c r="N16" i="24"/>
  <c r="L16" i="24"/>
  <c r="K16" i="24"/>
  <c r="B6" i="22"/>
  <c r="L16" i="22" s="1"/>
  <c r="N17" i="22"/>
  <c r="N18" i="22"/>
  <c r="N16" i="22"/>
  <c r="R8" i="22"/>
  <c r="D16" i="22"/>
  <c r="W16" i="22"/>
  <c r="T16" i="22"/>
  <c r="S16" i="22" s="1"/>
  <c r="U16" i="22" s="1"/>
  <c r="B8" i="22"/>
  <c r="W17" i="22"/>
  <c r="W18" i="22"/>
  <c r="D17" i="22"/>
  <c r="D18" i="22"/>
  <c r="E18" i="22" s="1"/>
  <c r="B10" i="22"/>
  <c r="E16" i="22" s="1"/>
  <c r="E17" i="22"/>
  <c r="B4" i="22"/>
  <c r="P16" i="22" s="1"/>
  <c r="G17" i="22"/>
  <c r="Z17" i="22"/>
  <c r="K16" i="22"/>
  <c r="G18" i="22"/>
  <c r="Z18" i="22" s="1"/>
  <c r="L17" i="22"/>
  <c r="K18" i="22"/>
  <c r="T17" i="22"/>
  <c r="S17" i="22"/>
  <c r="U17" i="22" s="1"/>
  <c r="L18" i="22"/>
  <c r="T18" i="22"/>
  <c r="S18" i="22" s="1"/>
  <c r="U18" i="22" s="1"/>
  <c r="Q17" i="24" l="1"/>
  <c r="V16" i="24"/>
  <c r="X16" i="24"/>
  <c r="E17" i="24"/>
  <c r="F17" i="24" s="1"/>
  <c r="E16" i="24"/>
  <c r="F16" i="24" s="1"/>
  <c r="P17" i="22"/>
  <c r="P18" i="22"/>
  <c r="F17" i="22"/>
  <c r="O18" i="22"/>
  <c r="O16" i="22"/>
  <c r="Q16" i="22" s="1"/>
  <c r="V16" i="22" s="1"/>
  <c r="X16" i="22" s="1"/>
  <c r="F18" i="22"/>
  <c r="G16" i="22"/>
  <c r="Z16" i="22" s="1"/>
  <c r="T17" i="24"/>
  <c r="S17" i="24" s="1"/>
  <c r="U17" i="24" s="1"/>
  <c r="K17" i="22"/>
  <c r="O17" i="22"/>
  <c r="F16" i="22"/>
  <c r="V17" i="24" l="1"/>
  <c r="X17" i="24" s="1"/>
  <c r="Q18" i="22"/>
  <c r="V18" i="22" s="1"/>
  <c r="X18" i="22" s="1"/>
  <c r="Q17" i="22"/>
  <c r="V17" i="22" s="1"/>
  <c r="X17" i="22" s="1"/>
</calcChain>
</file>

<file path=xl/sharedStrings.xml><?xml version="1.0" encoding="utf-8"?>
<sst xmlns="http://schemas.openxmlformats.org/spreadsheetml/2006/main" count="106" uniqueCount="57">
  <si>
    <t>Drag Force(N)</t>
  </si>
  <si>
    <r>
      <t>C</t>
    </r>
    <r>
      <rPr>
        <b/>
        <vertAlign val="subscript"/>
        <sz val="16"/>
        <color theme="1"/>
        <rFont val="Calibri"/>
        <family val="2"/>
        <scheme val="minor"/>
      </rPr>
      <t>d</t>
    </r>
  </si>
  <si>
    <r>
      <t>R</t>
    </r>
    <r>
      <rPr>
        <b/>
        <vertAlign val="subscript"/>
        <sz val="16"/>
        <color theme="1"/>
        <rFont val="Calibri"/>
        <family val="2"/>
        <scheme val="minor"/>
      </rPr>
      <t>e</t>
    </r>
  </si>
  <si>
    <t>Measured Velocity</t>
  </si>
  <si>
    <t>m</t>
  </si>
  <si>
    <t>β</t>
  </si>
  <si>
    <t>ε3s</t>
  </si>
  <si>
    <r>
      <t>m</t>
    </r>
    <r>
      <rPr>
        <vertAlign val="superscript"/>
        <sz val="1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</si>
  <si>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air/Pa abs</t>
    </r>
  </si>
  <si>
    <t>Measured Velocity (m/s)</t>
  </si>
  <si>
    <r>
      <t>T</t>
    </r>
    <r>
      <rPr>
        <vertAlign val="subscript"/>
        <sz val="11"/>
        <color theme="1"/>
        <rFont val="Calibri"/>
        <family val="2"/>
        <scheme val="minor"/>
      </rPr>
      <t>air (oC)</t>
    </r>
  </si>
  <si>
    <t>Air density (kg/m3)</t>
  </si>
  <si>
    <t>Sphere + sting</t>
  </si>
  <si>
    <t>Air at atmospheric pressure</t>
  </si>
  <si>
    <t>Temperature deg C</t>
  </si>
  <si>
    <t>Density kg/m3</t>
  </si>
  <si>
    <t>Speed of sound c m/s</t>
  </si>
  <si>
    <r>
      <t xml:space="preserve">Dynamic viscosity </t>
    </r>
    <r>
      <rPr>
        <b/>
        <sz val="10"/>
        <rFont val="SWGrekc"/>
      </rPr>
      <t>m</t>
    </r>
    <r>
      <rPr>
        <b/>
        <sz val="10"/>
        <rFont val="Arial"/>
        <family val="2"/>
      </rPr>
      <t xml:space="preserve"> Ns/m2</t>
    </r>
  </si>
  <si>
    <r>
      <t xml:space="preserve">Kinematic viscosity </t>
    </r>
    <r>
      <rPr>
        <b/>
        <sz val="10"/>
        <rFont val="SWGrekc"/>
      </rPr>
      <t>n</t>
    </r>
    <r>
      <rPr>
        <b/>
        <sz val="10"/>
        <rFont val="Arial"/>
        <family val="2"/>
      </rPr>
      <t xml:space="preserve"> m2/s</t>
    </r>
  </si>
  <si>
    <t>Air kinematic viscosity (m2/s)</t>
  </si>
  <si>
    <t>Sting length (mm)</t>
  </si>
  <si>
    <t>Sting diameter (mm)</t>
  </si>
  <si>
    <t>Sting Frontal Area (m2)</t>
  </si>
  <si>
    <t>CD(s+r)A(s+r)</t>
  </si>
  <si>
    <t>CD(r)A®</t>
  </si>
  <si>
    <t>Sphere + Sting Frontal Area (m2)</t>
  </si>
  <si>
    <t>M=Mach No.</t>
  </si>
  <si>
    <t>Sound speed (m/s)</t>
  </si>
  <si>
    <t>H height of tunnel</t>
  </si>
  <si>
    <t>B breadth of tunnel</t>
  </si>
  <si>
    <t>C tunnel cross sectional area</t>
  </si>
  <si>
    <t>dimensionless</t>
  </si>
  <si>
    <t>K3s (constant)</t>
  </si>
  <si>
    <t>n (power)</t>
  </si>
  <si>
    <t>θ (factor)</t>
  </si>
  <si>
    <t>Cd  sphere corr for solid blockage</t>
  </si>
  <si>
    <t>Re</t>
  </si>
  <si>
    <t>Smooth sphere: Clift et al 1978 to Re=3x10^5and approximate empirical data thereafter</t>
  </si>
  <si>
    <t>Cd</t>
  </si>
  <si>
    <t>Measured Drag Force (N)</t>
  </si>
  <si>
    <t xml:space="preserve">Sting </t>
  </si>
  <si>
    <t>Sting drag correction</t>
  </si>
  <si>
    <t>CD(s) corrected  for sting</t>
  </si>
  <si>
    <t>Enter your own data into the cells highlighted in yellow. Do not change other cells.</t>
  </si>
  <si>
    <t>Blockage correction</t>
  </si>
  <si>
    <t xml:space="preserve">Cd sphere corr for solid and wake blockage </t>
  </si>
  <si>
    <t>Data required for blockage correction</t>
  </si>
  <si>
    <t>Experimental conditions</t>
  </si>
  <si>
    <t>Standard data</t>
  </si>
  <si>
    <t>Cd  of smooth sphere calc from Clift, Grace and Weber 1978 correlation</t>
  </si>
  <si>
    <t>Sphere diameter/mm</t>
  </si>
  <si>
    <t>Sphere frontal area/m2</t>
  </si>
  <si>
    <t>Drag force (Sphere+Sting - Sting) (N)</t>
  </si>
  <si>
    <t>Enter your own data (average values) into the cells highlighted in yellow. Do not change other cells.</t>
  </si>
  <si>
    <t>Re of &lt;10^6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</si>
  <si>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air </t>
    </r>
    <r>
      <rPr>
        <sz val="11"/>
        <color theme="1"/>
        <rFont val="Calibri"/>
        <family val="2"/>
        <scheme val="minor"/>
      </rPr>
      <t>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</si>
  <si>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air </t>
    </r>
    <r>
      <rPr>
        <sz val="11"/>
        <color theme="1"/>
        <rFont val="Calibri"/>
        <family val="2"/>
        <scheme val="minor"/>
      </rPr>
      <t>(Pa abs)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</si>
</sst>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SWGrekc"/>
    </font>
    <font>
      <b/>
      <sz val="8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0" fillId="4" borderId="1" xfId="0" applyFont="1" applyFill="1" applyBorder="1"/>
    <xf numFmtId="0" fontId="0" fillId="0" borderId="11" xfId="0" applyBorder="1"/>
    <xf numFmtId="0" fontId="10" fillId="4" borderId="10" xfId="0" applyFont="1" applyFill="1" applyBorder="1"/>
    <xf numFmtId="0" fontId="0" fillId="5" borderId="1" xfId="0" applyFill="1" applyBorder="1"/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164" fontId="0" fillId="0" borderId="9" xfId="0" applyNumberFormat="1" applyBorder="1"/>
    <xf numFmtId="11" fontId="0" fillId="0" borderId="9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0" fontId="0" fillId="0" borderId="15" xfId="0" applyBorder="1"/>
    <xf numFmtId="164" fontId="0" fillId="0" borderId="16" xfId="0" applyNumberFormat="1" applyBorder="1"/>
    <xf numFmtId="11" fontId="0" fillId="0" borderId="16" xfId="0" applyNumberFormat="1" applyBorder="1"/>
    <xf numFmtId="0" fontId="0" fillId="0" borderId="17" xfId="0" applyBorder="1"/>
    <xf numFmtId="0" fontId="0" fillId="9" borderId="3" xfId="0" applyFill="1" applyBorder="1"/>
    <xf numFmtId="164" fontId="0" fillId="9" borderId="0" xfId="0" applyNumberFormat="1" applyFill="1" applyBorder="1"/>
    <xf numFmtId="11" fontId="0" fillId="9" borderId="0" xfId="0" applyNumberFormat="1" applyFill="1" applyBorder="1"/>
    <xf numFmtId="0" fontId="0" fillId="9" borderId="4" xfId="0" applyFill="1" applyBorder="1"/>
    <xf numFmtId="0" fontId="0" fillId="0" borderId="18" xfId="0" applyBorder="1"/>
    <xf numFmtId="164" fontId="0" fillId="0" borderId="19" xfId="0" applyNumberFormat="1" applyBorder="1"/>
    <xf numFmtId="11" fontId="0" fillId="0" borderId="19" xfId="0" applyNumberFormat="1" applyBorder="1"/>
    <xf numFmtId="0" fontId="0" fillId="0" borderId="20" xfId="0" applyBorder="1"/>
    <xf numFmtId="164" fontId="0" fillId="0" borderId="6" xfId="0" applyNumberFormat="1" applyBorder="1"/>
    <xf numFmtId="11" fontId="0" fillId="0" borderId="6" xfId="0" applyNumberFormat="1" applyBorder="1"/>
    <xf numFmtId="0" fontId="0" fillId="8" borderId="0" xfId="0" applyFill="1"/>
    <xf numFmtId="0" fontId="12" fillId="0" borderId="0" xfId="0" applyFont="1" applyFill="1" applyBorder="1" applyAlignment="1"/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0" fontId="15" fillId="0" borderId="0" xfId="0" applyFont="1" applyAlignment="1">
      <alignment horizontal="center" vertical="center" readingOrder="1"/>
    </xf>
    <xf numFmtId="0" fontId="0" fillId="8" borderId="0" xfId="0" applyFill="1" applyBorder="1"/>
    <xf numFmtId="0" fontId="0" fillId="5" borderId="0" xfId="0" applyFill="1"/>
    <xf numFmtId="0" fontId="0" fillId="0" borderId="1" xfId="0" applyFill="1" applyBorder="1"/>
    <xf numFmtId="0" fontId="0" fillId="8" borderId="1" xfId="0" applyFill="1" applyBorder="1"/>
    <xf numFmtId="0" fontId="0" fillId="0" borderId="1" xfId="0" applyBorder="1"/>
    <xf numFmtId="0" fontId="0" fillId="8" borderId="10" xfId="0" applyFill="1" applyBorder="1"/>
    <xf numFmtId="0" fontId="0" fillId="0" borderId="10" xfId="0" applyBorder="1"/>
    <xf numFmtId="0" fontId="10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8" borderId="11" xfId="0" applyFill="1" applyBorder="1"/>
    <xf numFmtId="0" fontId="0" fillId="0" borderId="11" xfId="0" applyFill="1" applyBorder="1"/>
    <xf numFmtId="0" fontId="1" fillId="0" borderId="0" xfId="0" applyFont="1"/>
    <xf numFmtId="0" fontId="0" fillId="0" borderId="0" xfId="0" applyAlignment="1">
      <alignment horizontal="justify"/>
    </xf>
    <xf numFmtId="0" fontId="0" fillId="10" borderId="0" xfId="0" applyFill="1" applyBorder="1"/>
    <xf numFmtId="0" fontId="17" fillId="10" borderId="0" xfId="0" applyFont="1" applyFill="1" applyBorder="1" applyAlignment="1">
      <alignment vertical="top" wrapText="1"/>
    </xf>
    <xf numFmtId="0" fontId="18" fillId="0" borderId="0" xfId="0" applyFont="1" applyAlignment="1">
      <alignment vertical="center"/>
    </xf>
    <xf numFmtId="11" fontId="0" fillId="0" borderId="11" xfId="0" applyNumberFormat="1" applyBorder="1"/>
    <xf numFmtId="0" fontId="10" fillId="0" borderId="0" xfId="0" applyFont="1" applyFill="1" applyBorder="1" applyAlignment="1">
      <alignment horizontal="left" vertical="center"/>
    </xf>
    <xf numFmtId="2" fontId="0" fillId="0" borderId="11" xfId="0" applyNumberFormat="1" applyBorder="1"/>
    <xf numFmtId="164" fontId="0" fillId="10" borderId="0" xfId="0" applyNumberFormat="1" applyFill="1" applyBorder="1"/>
    <xf numFmtId="0" fontId="10" fillId="8" borderId="0" xfId="0" applyFont="1" applyFill="1"/>
    <xf numFmtId="2" fontId="0" fillId="0" borderId="11" xfId="0" applyNumberFormat="1" applyFill="1" applyBorder="1"/>
    <xf numFmtId="0" fontId="0" fillId="2" borderId="22" xfId="0" applyFill="1" applyBorder="1"/>
    <xf numFmtId="0" fontId="0" fillId="2" borderId="23" xfId="0" applyFill="1" applyBorder="1"/>
    <xf numFmtId="0" fontId="0" fillId="7" borderId="22" xfId="0" applyFill="1" applyBorder="1"/>
    <xf numFmtId="0" fontId="0" fillId="7" borderId="23" xfId="0" applyFill="1" applyBorder="1"/>
    <xf numFmtId="0" fontId="1" fillId="6" borderId="22" xfId="0" applyFont="1" applyFill="1" applyBorder="1" applyAlignment="1">
      <alignment vertical="center"/>
    </xf>
    <xf numFmtId="0" fontId="0" fillId="6" borderId="22" xfId="0" applyFill="1" applyBorder="1"/>
    <xf numFmtId="0" fontId="1" fillId="6" borderId="23" xfId="0" applyFont="1" applyFill="1" applyBorder="1"/>
    <xf numFmtId="0" fontId="6" fillId="3" borderId="21" xfId="0" applyFont="1" applyFill="1" applyBorder="1"/>
    <xf numFmtId="0" fontId="0" fillId="3" borderId="22" xfId="0" applyFill="1" applyBorder="1"/>
    <xf numFmtId="0" fontId="6" fillId="3" borderId="22" xfId="0" applyFont="1" applyFill="1" applyBorder="1"/>
    <xf numFmtId="0" fontId="0" fillId="3" borderId="23" xfId="0" applyFill="1" applyBorder="1"/>
    <xf numFmtId="2" fontId="0" fillId="0" borderId="3" xfId="0" applyNumberFormat="1" applyFill="1" applyBorder="1"/>
    <xf numFmtId="0" fontId="9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2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top" wrapText="1"/>
    </xf>
    <xf numFmtId="0" fontId="1" fillId="7" borderId="22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horizontal="left" vertical="center"/>
    </xf>
    <xf numFmtId="0" fontId="6" fillId="6" borderId="21" xfId="0" applyFont="1" applyFill="1" applyBorder="1" applyAlignment="1">
      <alignment vertical="center"/>
    </xf>
    <xf numFmtId="0" fontId="6" fillId="7" borderId="21" xfId="0" applyFont="1" applyFill="1" applyBorder="1" applyAlignment="1">
      <alignment vertical="center"/>
    </xf>
    <xf numFmtId="0" fontId="6" fillId="2" borderId="21" xfId="0" applyFont="1" applyFill="1" applyBorder="1" applyAlignment="1">
      <alignment vertical="center"/>
    </xf>
    <xf numFmtId="2" fontId="0" fillId="0" borderId="10" xfId="0" applyNumberFormat="1" applyFill="1" applyBorder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0FAC"/>
      <color rgb="FFFFDA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and corrected drag coefficients with standard data over range of measured Reynolds number, linear scale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14956779546813"/>
          <c:y val="0.23725033288948075"/>
          <c:w val="0.48963941243285908"/>
          <c:h val="0.6149357287396332"/>
        </c:manualLayout>
      </c:layout>
      <c:scatterChart>
        <c:scatterStyle val="lineMarker"/>
        <c:varyColors val="0"/>
        <c:ser>
          <c:idx val="0"/>
          <c:order val="0"/>
          <c:tx>
            <c:v>Measured Sphere + Sting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'Measured data corrections'!$G$16:$G$18</c:f>
              <c:numCache>
                <c:formatCode>General</c:formatCode>
                <c:ptCount val="3"/>
                <c:pt idx="0">
                  <c:v>98406.846609611588</c:v>
                </c:pt>
                <c:pt idx="1">
                  <c:v>497353.52205398289</c:v>
                </c:pt>
              </c:numCache>
            </c:numRef>
          </c:xVal>
          <c:yVal>
            <c:numRef>
              <c:f>'Measured data corrections'!$F$16:$F$18</c:f>
              <c:numCache>
                <c:formatCode>0.00</c:formatCode>
                <c:ptCount val="3"/>
                <c:pt idx="0">
                  <c:v>0.53088622063235924</c:v>
                </c:pt>
                <c:pt idx="1">
                  <c:v>0.35332194265712202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6-420B-AE76-6E22D6E8C02F}"/>
            </c:ext>
          </c:extLst>
        </c:ser>
        <c:ser>
          <c:idx val="1"/>
          <c:order val="1"/>
          <c:tx>
            <c:v>Corrected for sting drag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'Measured data corrections'!$G$16:$G$18</c:f>
              <c:numCache>
                <c:formatCode>General</c:formatCode>
                <c:ptCount val="3"/>
                <c:pt idx="0">
                  <c:v>98406.846609611588</c:v>
                </c:pt>
                <c:pt idx="1">
                  <c:v>497353.52205398289</c:v>
                </c:pt>
              </c:numCache>
            </c:numRef>
          </c:xVal>
          <c:yVal>
            <c:numRef>
              <c:f>'Measured data corrections'!$Q$16:$Q$18</c:f>
              <c:numCache>
                <c:formatCode>0.00</c:formatCode>
                <c:ptCount val="3"/>
                <c:pt idx="0">
                  <c:v>0.50985215727138455</c:v>
                </c:pt>
                <c:pt idx="1">
                  <c:v>0.2957063995536896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6-420B-AE76-6E22D6E8C02F}"/>
            </c:ext>
          </c:extLst>
        </c:ser>
        <c:ser>
          <c:idx val="2"/>
          <c:order val="2"/>
          <c:tx>
            <c:v>Corrected for sting drag and solid blockage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'Measured data corrections'!$G$16:$G$18</c:f>
              <c:numCache>
                <c:formatCode>General</c:formatCode>
                <c:ptCount val="3"/>
                <c:pt idx="0">
                  <c:v>98406.846609611588</c:v>
                </c:pt>
                <c:pt idx="1">
                  <c:v>497353.52205398289</c:v>
                </c:pt>
              </c:numCache>
            </c:numRef>
          </c:xVal>
          <c:yVal>
            <c:numRef>
              <c:f>'Measured data corrections'!$V$16:$V$18</c:f>
              <c:numCache>
                <c:formatCode>0.00</c:formatCode>
                <c:ptCount val="3"/>
                <c:pt idx="0">
                  <c:v>0.50736500301379872</c:v>
                </c:pt>
                <c:pt idx="1">
                  <c:v>0.29423898230072476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6-420B-AE76-6E22D6E8C02F}"/>
            </c:ext>
          </c:extLst>
        </c:ser>
        <c:ser>
          <c:idx val="3"/>
          <c:order val="3"/>
          <c:tx>
            <c:v>Corrected for sting drag, solid and wake blockage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'Measured data corrections'!$G$16:$G$18</c:f>
              <c:numCache>
                <c:formatCode>General</c:formatCode>
                <c:ptCount val="3"/>
                <c:pt idx="0">
                  <c:v>98406.846609611588</c:v>
                </c:pt>
                <c:pt idx="1">
                  <c:v>497353.52205398289</c:v>
                </c:pt>
              </c:numCache>
            </c:numRef>
          </c:xVal>
          <c:yVal>
            <c:numRef>
              <c:f>'Measured data corrections'!$X$16:$X$18</c:f>
              <c:numCache>
                <c:formatCode>0.00</c:formatCode>
                <c:ptCount val="3"/>
                <c:pt idx="0">
                  <c:v>0.48809287262116674</c:v>
                </c:pt>
                <c:pt idx="1">
                  <c:v>0.28755012523354007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F6-420B-AE76-6E22D6E8C02F}"/>
            </c:ext>
          </c:extLst>
        </c:ser>
        <c:ser>
          <c:idx val="4"/>
          <c:order val="4"/>
          <c:tx>
            <c:v>Standard data (Clift, Grace &amp;Sphere!$30:$30 Weber correlation)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'Measured data corrections'!$G$16:$G$18</c:f>
              <c:numCache>
                <c:formatCode>General</c:formatCode>
                <c:ptCount val="3"/>
                <c:pt idx="0">
                  <c:v>98406.846609611588</c:v>
                </c:pt>
                <c:pt idx="1">
                  <c:v>497353.52205398289</c:v>
                </c:pt>
              </c:numCache>
            </c:numRef>
          </c:xVal>
          <c:yVal>
            <c:numRef>
              <c:f>'Measured data corrections'!$Z$16:$Z$18</c:f>
              <c:numCache>
                <c:formatCode>0.000</c:formatCode>
                <c:ptCount val="3"/>
                <c:pt idx="0">
                  <c:v>0.4917836648425904</c:v>
                </c:pt>
                <c:pt idx="1">
                  <c:v>0.47501950529763337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F6-420B-AE76-6E22D6E8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4832"/>
        <c:axId val="55626752"/>
      </c:scatterChart>
      <c:valAx>
        <c:axId val="556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layout>
            <c:manualLayout>
              <c:xMode val="edge"/>
              <c:yMode val="edge"/>
              <c:x val="0.2993591051729782"/>
              <c:y val="0.916095075332627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6752"/>
        <c:crosses val="autoZero"/>
        <c:crossBetween val="midCat"/>
      </c:valAx>
      <c:valAx>
        <c:axId val="55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coefficient</a:t>
                </a:r>
              </a:p>
            </c:rich>
          </c:tx>
          <c:layout>
            <c:manualLayout>
              <c:xMode val="edge"/>
              <c:yMode val="edge"/>
              <c:x val="1.7114914425427872E-2"/>
              <c:y val="0.4275910334776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532198756329071"/>
          <c:y val="0.28552454994390686"/>
          <c:w val="0.38223302466164832"/>
          <c:h val="0.44316501882005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b="1"/>
              <a:t>Corrected</a:t>
            </a:r>
            <a:r>
              <a:rPr lang="en-NZ" b="1" baseline="0"/>
              <a:t> present Cd, and standard data, log scale</a:t>
            </a:r>
            <a:endParaRPr lang="en-NZ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1693425467954"/>
          <c:y val="0.11737341772151899"/>
          <c:w val="0.83429459181030052"/>
          <c:h val="0.74210978770058822"/>
        </c:manualLayout>
      </c:layout>
      <c:scatterChart>
        <c:scatterStyle val="lineMarker"/>
        <c:varyColors val="0"/>
        <c:ser>
          <c:idx val="0"/>
          <c:order val="0"/>
          <c:tx>
            <c:v>Measured corrected for sting drag, solid and wake blockage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'Measured data corrections'!$G$16:$G$18</c:f>
              <c:numCache>
                <c:formatCode>General</c:formatCode>
                <c:ptCount val="3"/>
                <c:pt idx="0">
                  <c:v>98406.846609611588</c:v>
                </c:pt>
                <c:pt idx="1">
                  <c:v>497353.52205398289</c:v>
                </c:pt>
              </c:numCache>
            </c:numRef>
          </c:xVal>
          <c:yVal>
            <c:numRef>
              <c:f>'Measured data corrections'!$X$16:$X$18</c:f>
              <c:numCache>
                <c:formatCode>0.00</c:formatCode>
                <c:ptCount val="3"/>
                <c:pt idx="0">
                  <c:v>0.48809287262116674</c:v>
                </c:pt>
                <c:pt idx="1">
                  <c:v>0.28755012523354007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C-4FC3-A9F6-B365A092BF01}"/>
            </c:ext>
          </c:extLst>
        </c:ser>
        <c:ser>
          <c:idx val="2"/>
          <c:order val="1"/>
          <c:tx>
            <c:v>Clift correlation and empirical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'Standard sphere data'!$B$3:$B$38</c:f>
              <c:numCache>
                <c:formatCode>General</c:formatCode>
                <c:ptCount val="3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  <c:pt idx="20">
                  <c:v>20000</c:v>
                </c:pt>
                <c:pt idx="21">
                  <c:v>40000</c:v>
                </c:pt>
                <c:pt idx="22">
                  <c:v>60000</c:v>
                </c:pt>
                <c:pt idx="23">
                  <c:v>80000</c:v>
                </c:pt>
                <c:pt idx="24">
                  <c:v>100000</c:v>
                </c:pt>
                <c:pt idx="25">
                  <c:v>200000</c:v>
                </c:pt>
                <c:pt idx="26">
                  <c:v>300000</c:v>
                </c:pt>
                <c:pt idx="27">
                  <c:v>350000</c:v>
                </c:pt>
                <c:pt idx="28">
                  <c:v>400000</c:v>
                </c:pt>
                <c:pt idx="29">
                  <c:v>600000</c:v>
                </c:pt>
                <c:pt idx="30">
                  <c:v>800000</c:v>
                </c:pt>
                <c:pt idx="31">
                  <c:v>1000000</c:v>
                </c:pt>
                <c:pt idx="32">
                  <c:v>2000000</c:v>
                </c:pt>
                <c:pt idx="33">
                  <c:v>4000000</c:v>
                </c:pt>
                <c:pt idx="34">
                  <c:v>6000000</c:v>
                </c:pt>
                <c:pt idx="35">
                  <c:v>8000000</c:v>
                </c:pt>
              </c:numCache>
            </c:numRef>
          </c:xVal>
          <c:yVal>
            <c:numRef>
              <c:f>'Standard sphere data'!$C$3:$C$38</c:f>
              <c:numCache>
                <c:formatCode>General</c:formatCode>
                <c:ptCount val="36"/>
                <c:pt idx="0">
                  <c:v>14.897900177126692</c:v>
                </c:pt>
                <c:pt idx="1">
                  <c:v>8.3327430777553353</c:v>
                </c:pt>
                <c:pt idx="2">
                  <c:v>6.0547446100057973</c:v>
                </c:pt>
                <c:pt idx="3">
                  <c:v>4.8778497062052883</c:v>
                </c:pt>
                <c:pt idx="4">
                  <c:v>4.1512087353839187</c:v>
                </c:pt>
                <c:pt idx="5">
                  <c:v>2.6098677387569453</c:v>
                </c:pt>
                <c:pt idx="6">
                  <c:v>1.7353510969020252</c:v>
                </c:pt>
                <c:pt idx="7">
                  <c:v>1.4005426853330092</c:v>
                </c:pt>
                <c:pt idx="8">
                  <c:v>1.214933822374322</c:v>
                </c:pt>
                <c:pt idx="9">
                  <c:v>1.0937857067991494</c:v>
                </c:pt>
                <c:pt idx="10">
                  <c:v>0.81017831620557079</c:v>
                </c:pt>
                <c:pt idx="11">
                  <c:v>0.62195938700086262</c:v>
                </c:pt>
                <c:pt idx="12">
                  <c:v>0.54199480174107539</c:v>
                </c:pt>
                <c:pt idx="13">
                  <c:v>0.49609810087704487</c:v>
                </c:pt>
                <c:pt idx="14">
                  <c:v>0.46615239897966471</c:v>
                </c:pt>
                <c:pt idx="15">
                  <c:v>0.40303891209830039</c:v>
                </c:pt>
                <c:pt idx="16">
                  <c:v>0.38444081576654993</c:v>
                </c:pt>
                <c:pt idx="17">
                  <c:v>0.39257558082762256</c:v>
                </c:pt>
                <c:pt idx="18">
                  <c:v>0.40482750491998371</c:v>
                </c:pt>
                <c:pt idx="19">
                  <c:v>0.41671979437738199</c:v>
                </c:pt>
                <c:pt idx="20">
                  <c:v>0.45594980939305352</c:v>
                </c:pt>
                <c:pt idx="21">
                  <c:v>0.48264339802831474</c:v>
                </c:pt>
                <c:pt idx="22">
                  <c:v>0.48980169156597209</c:v>
                </c:pt>
                <c:pt idx="23">
                  <c:v>0.49170080255445187</c:v>
                </c:pt>
                <c:pt idx="24">
                  <c:v>0.49175222766187954</c:v>
                </c:pt>
                <c:pt idx="25">
                  <c:v>0.48673074018757834</c:v>
                </c:pt>
                <c:pt idx="26">
                  <c:v>0.48181279732503163</c:v>
                </c:pt>
                <c:pt idx="27">
                  <c:v>0.2</c:v>
                </c:pt>
                <c:pt idx="28">
                  <c:v>0.08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0.15</c:v>
                </c:pt>
                <c:pt idx="33">
                  <c:v>0.16</c:v>
                </c:pt>
                <c:pt idx="34">
                  <c:v>0.17</c:v>
                </c:pt>
                <c:pt idx="35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C-4FC3-A9F6-B365A092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1728"/>
        <c:axId val="55323264"/>
      </c:scatterChart>
      <c:valAx>
        <c:axId val="5532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3264"/>
        <c:crossesAt val="1.0000000000000004E-2"/>
        <c:crossBetween val="midCat"/>
      </c:valAx>
      <c:valAx>
        <c:axId val="5532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37066914072624"/>
          <c:y val="0.12435039370078745"/>
          <c:w val="0.33907156498322188"/>
          <c:h val="0.17563440645868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Kinematic viscosity of air at atmospheric</a:t>
            </a:r>
            <a:r>
              <a:rPr lang="en-US" baseline="0"/>
              <a:t>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Kinematic viscosity of air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103237095363088E-2"/>
                  <c:y val="0.1153240740740740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'Properties of air'!$B$6:$B$11</c:f>
              <c:numCache>
                <c:formatCode>General</c:formatCode>
                <c:ptCount val="6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'Properties of air'!$E$6:$E$11</c:f>
              <c:numCache>
                <c:formatCode>0.00E+00</c:formatCode>
                <c:ptCount val="6"/>
                <c:pt idx="0">
                  <c:v>1.2400000000000002E-5</c:v>
                </c:pt>
                <c:pt idx="1">
                  <c:v>1.3300000000000001E-5</c:v>
                </c:pt>
                <c:pt idx="2">
                  <c:v>1.4200000000000001E-5</c:v>
                </c:pt>
                <c:pt idx="3">
                  <c:v>1.5100000000000001E-5</c:v>
                </c:pt>
                <c:pt idx="4">
                  <c:v>1.6000000000000003E-5</c:v>
                </c:pt>
                <c:pt idx="5">
                  <c:v>1.6900000000000001E-5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1-4CC9-BB7A-6EEB15CE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5568"/>
        <c:axId val="65171840"/>
      </c:scatterChart>
      <c:valAx>
        <c:axId val="651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temperature/deg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1840"/>
        <c:crosses val="autoZero"/>
        <c:crossBetween val="midCat"/>
      </c:valAx>
      <c:valAx>
        <c:axId val="651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Kinematic viscosity/m2/s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Speed of sound</a:t>
            </a:r>
            <a:r>
              <a:rPr lang="en-NZ" baseline="0"/>
              <a:t> at atmospheric pressure</a:t>
            </a:r>
            <a:endParaRPr lang="en-NZ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110892388451447E-2"/>
                  <c:y val="-5.0094050743657047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'Properties of air'!$B$7:$B$11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'Properties of air'!$F$7:$F$11</c:f>
              <c:numCache>
                <c:formatCode>General</c:formatCode>
                <c:ptCount val="5"/>
                <c:pt idx="0">
                  <c:v>331</c:v>
                </c:pt>
                <c:pt idx="1">
                  <c:v>337</c:v>
                </c:pt>
                <c:pt idx="2">
                  <c:v>343</c:v>
                </c:pt>
                <c:pt idx="3">
                  <c:v>349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6-4EA5-867B-71A01D4E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9296"/>
        <c:axId val="65801216"/>
      </c:scatterChart>
      <c:valAx>
        <c:axId val="657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temperature/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1216"/>
        <c:crosses val="autoZero"/>
        <c:crossBetween val="midCat"/>
      </c:valAx>
      <c:valAx>
        <c:axId val="65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of sound c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and corrected drag coefficients with standard data over range of measured Reynolds number, linear scale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14956779546813"/>
          <c:y val="0.23725033288948075"/>
          <c:w val="0.48963941243285908"/>
          <c:h val="0.6149357287396332"/>
        </c:manualLayout>
      </c:layout>
      <c:scatterChart>
        <c:scatterStyle val="lineMarker"/>
        <c:varyColors val="0"/>
        <c:ser>
          <c:idx val="0"/>
          <c:order val="0"/>
          <c:tx>
            <c:v>Measured Sphere + Sting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Example!$G$16:$G$18</c:f>
              <c:numCache>
                <c:formatCode>General</c:formatCode>
                <c:ptCount val="3"/>
                <c:pt idx="0">
                  <c:v>27228.439763001978</c:v>
                </c:pt>
                <c:pt idx="1">
                  <c:v>33772.218564845294</c:v>
                </c:pt>
                <c:pt idx="2">
                  <c:v>50954.575378538502</c:v>
                </c:pt>
              </c:numCache>
            </c:numRef>
          </c:xVal>
          <c:yVal>
            <c:numRef>
              <c:f>Example!$F$16:$F$18</c:f>
              <c:numCache>
                <c:formatCode>0.00</c:formatCode>
                <c:ptCount val="3"/>
                <c:pt idx="0">
                  <c:v>0.63894475241116877</c:v>
                </c:pt>
                <c:pt idx="1">
                  <c:v>0.59881037352151711</c:v>
                </c:pt>
                <c:pt idx="2">
                  <c:v>0.58373736065060078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2-4310-9CF1-91C7C3C83E58}"/>
            </c:ext>
          </c:extLst>
        </c:ser>
        <c:ser>
          <c:idx val="1"/>
          <c:order val="1"/>
          <c:tx>
            <c:v>Corrected for sting drag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Example!$G$16:$G$18</c:f>
              <c:numCache>
                <c:formatCode>General</c:formatCode>
                <c:ptCount val="3"/>
                <c:pt idx="0">
                  <c:v>27228.439763001978</c:v>
                </c:pt>
                <c:pt idx="1">
                  <c:v>33772.218564845294</c:v>
                </c:pt>
                <c:pt idx="2">
                  <c:v>50954.575378538502</c:v>
                </c:pt>
              </c:numCache>
            </c:numRef>
          </c:xVal>
          <c:yVal>
            <c:numRef>
              <c:f>Example!$Q$16:$Q$18</c:f>
              <c:numCache>
                <c:formatCode>0.00</c:formatCode>
                <c:ptCount val="3"/>
                <c:pt idx="0">
                  <c:v>0.50850713135343806</c:v>
                </c:pt>
                <c:pt idx="1">
                  <c:v>0.50790217260331472</c:v>
                </c:pt>
                <c:pt idx="2">
                  <c:v>0.54043922633228314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2-4310-9CF1-91C7C3C83E58}"/>
            </c:ext>
          </c:extLst>
        </c:ser>
        <c:ser>
          <c:idx val="2"/>
          <c:order val="2"/>
          <c:tx>
            <c:v>Corrected for sting drag and solid blockage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Example!$G$16:$G$18</c:f>
              <c:numCache>
                <c:formatCode>General</c:formatCode>
                <c:ptCount val="3"/>
                <c:pt idx="0">
                  <c:v>27228.439763001978</c:v>
                </c:pt>
                <c:pt idx="1">
                  <c:v>33772.218564845294</c:v>
                </c:pt>
                <c:pt idx="2">
                  <c:v>50954.575378538502</c:v>
                </c:pt>
              </c:numCache>
            </c:numRef>
          </c:xVal>
          <c:yVal>
            <c:numRef>
              <c:f>Example!$V$16:$V$18</c:f>
              <c:numCache>
                <c:formatCode>0.00</c:formatCode>
                <c:ptCount val="3"/>
                <c:pt idx="0">
                  <c:v>0.50847576293762264</c:v>
                </c:pt>
                <c:pt idx="1">
                  <c:v>0.50784628564032652</c:v>
                </c:pt>
                <c:pt idx="2">
                  <c:v>0.54023502393390599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02-4310-9CF1-91C7C3C83E58}"/>
            </c:ext>
          </c:extLst>
        </c:ser>
        <c:ser>
          <c:idx val="3"/>
          <c:order val="3"/>
          <c:tx>
            <c:v>Corrected for sting drag, solid and wake blockage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Example!$G$16:$G$18</c:f>
              <c:numCache>
                <c:formatCode>General</c:formatCode>
                <c:ptCount val="3"/>
                <c:pt idx="0">
                  <c:v>27228.439763001978</c:v>
                </c:pt>
                <c:pt idx="1">
                  <c:v>33772.218564845294</c:v>
                </c:pt>
                <c:pt idx="2">
                  <c:v>50954.575378538502</c:v>
                </c:pt>
              </c:numCache>
            </c:numRef>
          </c:xVal>
          <c:yVal>
            <c:numRef>
              <c:f>Example!$X$16:$X$18</c:f>
              <c:numCache>
                <c:formatCode>0.00</c:formatCode>
                <c:ptCount val="3"/>
                <c:pt idx="0">
                  <c:v>0.50734848629491958</c:v>
                </c:pt>
                <c:pt idx="1">
                  <c:v>0.50619581098506072</c:v>
                </c:pt>
                <c:pt idx="2">
                  <c:v>0.53602209301812553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02-4310-9CF1-91C7C3C83E58}"/>
            </c:ext>
          </c:extLst>
        </c:ser>
        <c:ser>
          <c:idx val="4"/>
          <c:order val="4"/>
          <c:tx>
            <c:v>Standard data (Clift, Grace &amp;Sphere!$30:$30 Weber correlation)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Example!$G$16:$G$18</c:f>
              <c:numCache>
                <c:formatCode>General</c:formatCode>
                <c:ptCount val="3"/>
                <c:pt idx="0">
                  <c:v>27228.439763001978</c:v>
                </c:pt>
                <c:pt idx="1">
                  <c:v>33772.218564845294</c:v>
                </c:pt>
                <c:pt idx="2">
                  <c:v>50954.575378538502</c:v>
                </c:pt>
              </c:numCache>
            </c:numRef>
          </c:xVal>
          <c:yVal>
            <c:numRef>
              <c:f>Example!$Z$16:$Z$18</c:f>
              <c:numCache>
                <c:formatCode>0.000</c:formatCode>
                <c:ptCount val="3"/>
                <c:pt idx="0">
                  <c:v>0.47009238959896743</c:v>
                </c:pt>
                <c:pt idx="1">
                  <c:v>0.47784274902224239</c:v>
                </c:pt>
                <c:pt idx="2">
                  <c:v>0.48761075321057967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02-4310-9CF1-91C7C3C8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8416"/>
        <c:axId val="63150336"/>
      </c:scatterChart>
      <c:valAx>
        <c:axId val="6314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layout>
            <c:manualLayout>
              <c:xMode val="edge"/>
              <c:yMode val="edge"/>
              <c:x val="0.2993591051729782"/>
              <c:y val="0.916095075332627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0336"/>
        <c:crosses val="autoZero"/>
        <c:crossBetween val="midCat"/>
      </c:valAx>
      <c:valAx>
        <c:axId val="631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coefficient</a:t>
                </a:r>
              </a:p>
            </c:rich>
          </c:tx>
          <c:layout>
            <c:manualLayout>
              <c:xMode val="edge"/>
              <c:yMode val="edge"/>
              <c:x val="1.7114914425427872E-2"/>
              <c:y val="0.4275910334776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532198756329071"/>
          <c:y val="0.28552454994390686"/>
          <c:w val="0.38223302466164832"/>
          <c:h val="0.44316501882005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b="1"/>
              <a:t>Corrected</a:t>
            </a:r>
            <a:r>
              <a:rPr lang="en-NZ" b="1" baseline="0"/>
              <a:t> present Cd, and standard data, log scale</a:t>
            </a:r>
            <a:endParaRPr lang="en-NZ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1693425467954"/>
          <c:y val="0.11737341772151899"/>
          <c:w val="0.83429459181030052"/>
          <c:h val="0.74210978770058822"/>
        </c:manualLayout>
      </c:layout>
      <c:scatterChart>
        <c:scatterStyle val="lineMarker"/>
        <c:varyColors val="0"/>
        <c:ser>
          <c:idx val="0"/>
          <c:order val="0"/>
          <c:tx>
            <c:v>Measured corrected for sting drag, solid and wake blockage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Example!$G$16:$G$18</c:f>
              <c:numCache>
                <c:formatCode>General</c:formatCode>
                <c:ptCount val="3"/>
                <c:pt idx="0">
                  <c:v>27228.439763001978</c:v>
                </c:pt>
                <c:pt idx="1">
                  <c:v>33772.218564845294</c:v>
                </c:pt>
                <c:pt idx="2">
                  <c:v>50954.575378538502</c:v>
                </c:pt>
              </c:numCache>
            </c:numRef>
          </c:xVal>
          <c:yVal>
            <c:numRef>
              <c:f>Example!$X$16:$X$18</c:f>
              <c:numCache>
                <c:formatCode>0.00</c:formatCode>
                <c:ptCount val="3"/>
                <c:pt idx="0">
                  <c:v>0.50734848629491958</c:v>
                </c:pt>
                <c:pt idx="1">
                  <c:v>0.50619581098506072</c:v>
                </c:pt>
                <c:pt idx="2">
                  <c:v>0.53602209301812553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01C-BD78-3548D3C308B3}"/>
            </c:ext>
          </c:extLst>
        </c:ser>
        <c:ser>
          <c:idx val="2"/>
          <c:order val="1"/>
          <c:tx>
            <c:v>Clift correlation and empirical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'Standard sphere data'!$B$3:$B$38</c:f>
              <c:numCache>
                <c:formatCode>General</c:formatCode>
                <c:ptCount val="3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  <c:pt idx="20">
                  <c:v>20000</c:v>
                </c:pt>
                <c:pt idx="21">
                  <c:v>40000</c:v>
                </c:pt>
                <c:pt idx="22">
                  <c:v>60000</c:v>
                </c:pt>
                <c:pt idx="23">
                  <c:v>80000</c:v>
                </c:pt>
                <c:pt idx="24">
                  <c:v>100000</c:v>
                </c:pt>
                <c:pt idx="25">
                  <c:v>200000</c:v>
                </c:pt>
                <c:pt idx="26">
                  <c:v>300000</c:v>
                </c:pt>
                <c:pt idx="27">
                  <c:v>350000</c:v>
                </c:pt>
                <c:pt idx="28">
                  <c:v>400000</c:v>
                </c:pt>
                <c:pt idx="29">
                  <c:v>600000</c:v>
                </c:pt>
                <c:pt idx="30">
                  <c:v>800000</c:v>
                </c:pt>
                <c:pt idx="31">
                  <c:v>1000000</c:v>
                </c:pt>
                <c:pt idx="32">
                  <c:v>2000000</c:v>
                </c:pt>
                <c:pt idx="33">
                  <c:v>4000000</c:v>
                </c:pt>
                <c:pt idx="34">
                  <c:v>6000000</c:v>
                </c:pt>
                <c:pt idx="35">
                  <c:v>8000000</c:v>
                </c:pt>
              </c:numCache>
            </c:numRef>
          </c:xVal>
          <c:yVal>
            <c:numRef>
              <c:f>'Standard sphere data'!$C$3:$C$38</c:f>
              <c:numCache>
                <c:formatCode>General</c:formatCode>
                <c:ptCount val="36"/>
                <c:pt idx="0">
                  <c:v>14.897900177126692</c:v>
                </c:pt>
                <c:pt idx="1">
                  <c:v>8.3327430777553353</c:v>
                </c:pt>
                <c:pt idx="2">
                  <c:v>6.0547446100057973</c:v>
                </c:pt>
                <c:pt idx="3">
                  <c:v>4.8778497062052883</c:v>
                </c:pt>
                <c:pt idx="4">
                  <c:v>4.1512087353839187</c:v>
                </c:pt>
                <c:pt idx="5">
                  <c:v>2.6098677387569453</c:v>
                </c:pt>
                <c:pt idx="6">
                  <c:v>1.7353510969020252</c:v>
                </c:pt>
                <c:pt idx="7">
                  <c:v>1.4005426853330092</c:v>
                </c:pt>
                <c:pt idx="8">
                  <c:v>1.214933822374322</c:v>
                </c:pt>
                <c:pt idx="9">
                  <c:v>1.0937857067991494</c:v>
                </c:pt>
                <c:pt idx="10">
                  <c:v>0.81017831620557079</c:v>
                </c:pt>
                <c:pt idx="11">
                  <c:v>0.62195938700086262</c:v>
                </c:pt>
                <c:pt idx="12">
                  <c:v>0.54199480174107539</c:v>
                </c:pt>
                <c:pt idx="13">
                  <c:v>0.49609810087704487</c:v>
                </c:pt>
                <c:pt idx="14">
                  <c:v>0.46615239897966471</c:v>
                </c:pt>
                <c:pt idx="15">
                  <c:v>0.40303891209830039</c:v>
                </c:pt>
                <c:pt idx="16">
                  <c:v>0.38444081576654993</c:v>
                </c:pt>
                <c:pt idx="17">
                  <c:v>0.39257558082762256</c:v>
                </c:pt>
                <c:pt idx="18">
                  <c:v>0.40482750491998371</c:v>
                </c:pt>
                <c:pt idx="19">
                  <c:v>0.41671979437738199</c:v>
                </c:pt>
                <c:pt idx="20">
                  <c:v>0.45594980939305352</c:v>
                </c:pt>
                <c:pt idx="21">
                  <c:v>0.48264339802831474</c:v>
                </c:pt>
                <c:pt idx="22">
                  <c:v>0.48980169156597209</c:v>
                </c:pt>
                <c:pt idx="23">
                  <c:v>0.49170080255445187</c:v>
                </c:pt>
                <c:pt idx="24">
                  <c:v>0.49175222766187954</c:v>
                </c:pt>
                <c:pt idx="25">
                  <c:v>0.48673074018757834</c:v>
                </c:pt>
                <c:pt idx="26">
                  <c:v>0.48181279732503163</c:v>
                </c:pt>
                <c:pt idx="27">
                  <c:v>0.2</c:v>
                </c:pt>
                <c:pt idx="28">
                  <c:v>0.08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0.15</c:v>
                </c:pt>
                <c:pt idx="33">
                  <c:v>0.16</c:v>
                </c:pt>
                <c:pt idx="34">
                  <c:v>0.17</c:v>
                </c:pt>
                <c:pt idx="35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9-401C-BD78-3548D3C3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8624"/>
        <c:axId val="63260544"/>
      </c:scatterChart>
      <c:valAx>
        <c:axId val="6325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0544"/>
        <c:crossesAt val="1.0000000000000004E-2"/>
        <c:crossBetween val="midCat"/>
      </c:valAx>
      <c:valAx>
        <c:axId val="6326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37066914072624"/>
          <c:y val="0.12435039370078745"/>
          <c:w val="0.33907156498322188"/>
          <c:h val="0.17563440645868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and corrected drag force, linear scale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27562667051944"/>
          <c:y val="0.12322259136212627"/>
          <c:w val="0.71081214332153442"/>
          <c:h val="0.72925811599131507"/>
        </c:manualLayout>
      </c:layout>
      <c:scatterChart>
        <c:scatterStyle val="lineMarker"/>
        <c:varyColors val="0"/>
        <c:ser>
          <c:idx val="0"/>
          <c:order val="0"/>
          <c:tx>
            <c:v>Sphere+Sting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Example!$A$16:$A$18</c:f>
              <c:numCache>
                <c:formatCode>General</c:formatCode>
                <c:ptCount val="3"/>
                <c:pt idx="0">
                  <c:v>47</c:v>
                </c:pt>
                <c:pt idx="1">
                  <c:v>57</c:v>
                </c:pt>
                <c:pt idx="2">
                  <c:v>86</c:v>
                </c:pt>
              </c:numCache>
            </c:numRef>
          </c:xVal>
          <c:yVal>
            <c:numRef>
              <c:f>Example!$C$16:$C$18</c:f>
              <c:numCache>
                <c:formatCode>General</c:formatCode>
                <c:ptCount val="3"/>
                <c:pt idx="0">
                  <c:v>0.09</c:v>
                </c:pt>
                <c:pt idx="1">
                  <c:v>0.112</c:v>
                </c:pt>
                <c:pt idx="2">
                  <c:v>0.2016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1-4528-8D89-173BC247468D}"/>
            </c:ext>
          </c:extLst>
        </c:ser>
        <c:ser>
          <c:idx val="1"/>
          <c:order val="1"/>
          <c:tx>
            <c:v>Sting only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Example!$A$16:$A$18</c:f>
              <c:numCache>
                <c:formatCode>General</c:formatCode>
                <c:ptCount val="3"/>
                <c:pt idx="0">
                  <c:v>47</c:v>
                </c:pt>
                <c:pt idx="1">
                  <c:v>57</c:v>
                </c:pt>
                <c:pt idx="2">
                  <c:v>86</c:v>
                </c:pt>
              </c:numCache>
            </c:numRef>
          </c:xVal>
          <c:yVal>
            <c:numRef>
              <c:f>Example!$J$16:$J$18</c:f>
              <c:numCache>
                <c:formatCode>General</c:formatCode>
                <c:ptCount val="3"/>
                <c:pt idx="0">
                  <c:v>4.9000000000000002E-2</c:v>
                </c:pt>
                <c:pt idx="1">
                  <c:v>4.9000000000000002E-2</c:v>
                </c:pt>
                <c:pt idx="2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1-4528-8D89-173BC247468D}"/>
            </c:ext>
          </c:extLst>
        </c:ser>
        <c:ser>
          <c:idx val="2"/>
          <c:order val="2"/>
          <c:tx>
            <c:v>Sphere only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Example!$A$16:$A$18</c:f>
              <c:numCache>
                <c:formatCode>General</c:formatCode>
                <c:ptCount val="3"/>
                <c:pt idx="0">
                  <c:v>47</c:v>
                </c:pt>
                <c:pt idx="1">
                  <c:v>57</c:v>
                </c:pt>
                <c:pt idx="2">
                  <c:v>86</c:v>
                </c:pt>
              </c:numCache>
            </c:numRef>
          </c:xVal>
          <c:yVal>
            <c:numRef>
              <c:f>Example!$N$16:$N$18</c:f>
              <c:numCache>
                <c:formatCode>General</c:formatCode>
                <c:ptCount val="3"/>
                <c:pt idx="0">
                  <c:v>4.0999999999999995E-2</c:v>
                </c:pt>
                <c:pt idx="1">
                  <c:v>6.3E-2</c:v>
                </c:pt>
                <c:pt idx="2">
                  <c:v>0.15260000000000001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11-4528-8D89-173BC2474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3904"/>
        <c:axId val="62925824"/>
      </c:scatterChart>
      <c:valAx>
        <c:axId val="629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Sphere</a:t>
                </a:r>
                <a:r>
                  <a:rPr lang="en-US" baseline="0"/>
                  <a:t> diameter, 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5824"/>
        <c:crosses val="autoZero"/>
        <c:crossBetween val="midCat"/>
      </c:valAx>
      <c:valAx>
        <c:axId val="629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force, N</a:t>
                </a:r>
              </a:p>
            </c:rich>
          </c:tx>
          <c:layout>
            <c:manualLayout>
              <c:xMode val="edge"/>
              <c:yMode val="edge"/>
              <c:x val="1.1467889908256881E-2"/>
              <c:y val="0.41056740000523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340541</xdr:colOff>
      <xdr:row>4</xdr:row>
      <xdr:rowOff>36149</xdr:rowOff>
    </xdr:from>
    <xdr:ext cx="1476375" cy="264560"/>
    <xdr:sp macro="" textlink="">
      <xdr:nvSpPr>
        <xdr:cNvPr id="2" name="TextBox 1"/>
        <xdr:cNvSpPr txBox="1"/>
      </xdr:nvSpPr>
      <xdr:spPr>
        <a:xfrm>
          <a:off x="4655366" y="836249"/>
          <a:ext cx="1476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NZ" sz="1100" b="0" i="0">
              <a:latin typeface="Cambria Math"/>
            </a:rPr>
            <a:t>𝑇=℃+273</a:t>
          </a:r>
          <a:endParaRPr lang="en-NZ" sz="1100"/>
        </a:p>
      </xdr:txBody>
    </xdr:sp>
    <xdr:clientData/>
  </xdr:oneCellAnchor>
  <xdr:oneCellAnchor>
    <xdr:from>
      <xdr:col>5</xdr:col>
      <xdr:colOff>451575</xdr:colOff>
      <xdr:row>3</xdr:row>
      <xdr:rowOff>135934</xdr:rowOff>
    </xdr:from>
    <xdr:ext cx="1552575" cy="456920"/>
    <xdr:sp macro="" textlink="">
      <xdr:nvSpPr>
        <xdr:cNvPr id="3" name="TextBox 2"/>
        <xdr:cNvSpPr txBox="1"/>
      </xdr:nvSpPr>
      <xdr:spPr>
        <a:xfrm>
          <a:off x="3499575" y="745534"/>
          <a:ext cx="1552575" cy="4569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NZ" sz="1100" i="0">
              <a:latin typeface="Cambria Math"/>
              <a:ea typeface="Cambria Math"/>
            </a:rPr>
            <a:t>𝜌</a:t>
          </a:r>
          <a:r>
            <a:rPr lang="en-NZ" sz="1100" b="0" i="0">
              <a:latin typeface="Cambria Math"/>
              <a:ea typeface="Cambria Math"/>
            </a:rPr>
            <a:t>=𝑃</a:t>
          </a:r>
          <a:r>
            <a:rPr lang="en-NZ" sz="1100" b="0" i="0">
              <a:latin typeface="Cambria Math" panose="02040503050406030204" pitchFamily="18" charset="0"/>
              <a:ea typeface="Cambria Math"/>
            </a:rPr>
            <a:t>/(</a:t>
          </a:r>
          <a:r>
            <a:rPr lang="en-NZ" sz="1100" b="0" i="0">
              <a:latin typeface="Cambria Math"/>
              <a:ea typeface="Cambria Math"/>
            </a:rPr>
            <a:t>𝑅</a:t>
          </a:r>
          <a:r>
            <a:rPr lang="en-NZ" sz="1100" b="0" i="0">
              <a:latin typeface="Cambria Math" panose="02040503050406030204" pitchFamily="18" charset="0"/>
              <a:ea typeface="Cambria Math"/>
            </a:rPr>
            <a:t>_</a:t>
          </a:r>
          <a:r>
            <a:rPr lang="en-NZ" sz="1100" b="0" i="0">
              <a:latin typeface="Cambria Math"/>
              <a:ea typeface="Cambria Math"/>
            </a:rPr>
            <a:t>𝑠𝑝𝑒𝑐𝑖𝑓𝑖𝑐 𝑇</a:t>
          </a:r>
          <a:r>
            <a:rPr lang="en-NZ" sz="1100" b="0" i="0">
              <a:latin typeface="Cambria Math" panose="02040503050406030204" pitchFamily="18" charset="0"/>
              <a:ea typeface="Cambria Math"/>
            </a:rPr>
            <a:t>)</a:t>
          </a:r>
          <a:endParaRPr lang="en-NZ" sz="1100"/>
        </a:p>
      </xdr:txBody>
    </xdr:sp>
    <xdr:clientData/>
  </xdr:oneCellAnchor>
  <xdr:twoCellAnchor>
    <xdr:from>
      <xdr:col>9</xdr:col>
      <xdr:colOff>606416</xdr:colOff>
      <xdr:row>19</xdr:row>
      <xdr:rowOff>189744</xdr:rowOff>
    </xdr:from>
    <xdr:to>
      <xdr:col>17</xdr:col>
      <xdr:colOff>0</xdr:colOff>
      <xdr:row>31</xdr:row>
      <xdr:rowOff>103153</xdr:rowOff>
    </xdr:to>
    <xdr:sp macro="" textlink="">
      <xdr:nvSpPr>
        <xdr:cNvPr id="4" name="TextBox 3"/>
        <xdr:cNvSpPr txBox="1"/>
      </xdr:nvSpPr>
      <xdr:spPr>
        <a:xfrm>
          <a:off x="6143616" y="4825244"/>
          <a:ext cx="4384684" cy="21994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 b="1"/>
            <a:t>Sting</a:t>
          </a:r>
          <a:r>
            <a:rPr lang="en-NZ" sz="1400" b="1" baseline="0"/>
            <a:t> correction: </a:t>
          </a:r>
        </a:p>
        <a:p>
          <a:r>
            <a:rPr lang="en-US" sz="1600" b="0" i="0">
              <a:latin typeface="Cambria Math" panose="02040503050406030204" pitchFamily="18" charset="0"/>
            </a:rPr>
            <a:t>𝐶</a:t>
          </a:r>
          <a:r>
            <a:rPr lang="en-NZ" sz="1600" b="0" i="0">
              <a:latin typeface="Cambria Math" panose="02040503050406030204" pitchFamily="18" charset="0"/>
            </a:rPr>
            <a:t>_(</a:t>
          </a:r>
          <a:r>
            <a:rPr lang="en-US" sz="1600" b="0" i="0">
              <a:latin typeface="Cambria Math" panose="02040503050406030204" pitchFamily="18" charset="0"/>
            </a:rPr>
            <a:t>𝑑(𝑠+𝑟)</a:t>
          </a:r>
          <a:r>
            <a:rPr lang="en-NZ" sz="1600" b="0" i="0">
              <a:latin typeface="Cambria Math" panose="02040503050406030204" pitchFamily="18" charset="0"/>
            </a:rPr>
            <a:t>) </a:t>
          </a:r>
          <a:r>
            <a:rPr lang="en-US" sz="1600" b="0" i="0">
              <a:latin typeface="Cambria Math" panose="02040503050406030204" pitchFamily="18" charset="0"/>
            </a:rPr>
            <a:t>𝐴</a:t>
          </a:r>
          <a:r>
            <a:rPr lang="en-NZ" sz="1600" b="0" i="0">
              <a:latin typeface="Cambria Math" panose="02040503050406030204" pitchFamily="18" charset="0"/>
            </a:rPr>
            <a:t>_(</a:t>
          </a:r>
          <a:r>
            <a:rPr lang="en-US" sz="1600" b="0" i="0">
              <a:latin typeface="Cambria Math" panose="02040503050406030204" pitchFamily="18" charset="0"/>
            </a:rPr>
            <a:t>(𝑠+𝑟)</a:t>
          </a:r>
          <a:r>
            <a:rPr lang="en-NZ" sz="1600" b="0" i="0">
              <a:latin typeface="Cambria Math" panose="02040503050406030204" pitchFamily="18" charset="0"/>
            </a:rPr>
            <a:t>)</a:t>
          </a:r>
          <a:r>
            <a:rPr lang="en-US" sz="1600" b="0" i="0">
              <a:latin typeface="Cambria Math" panose="02040503050406030204" pitchFamily="18" charset="0"/>
            </a:rPr>
            <a:t>=(2𝐹_(𝐷(𝑠+𝑟)))/(</a:t>
          </a:r>
          <a:r>
            <a:rPr lang="en-US" sz="1600" b="0" i="0">
              <a:latin typeface="Cambria Math" panose="02040503050406030204" pitchFamily="18" charset="0"/>
              <a:ea typeface="Cambria Math" panose="02040503050406030204" pitchFamily="18" charset="0"/>
            </a:rPr>
            <a:t>𝜌𝑉^2 ) </a:t>
          </a:r>
          <a:endParaRPr lang="en-US" sz="1600" b="0" i="1">
            <a:latin typeface="Cambria Math" panose="02040503050406030204" pitchFamily="18" charset="0"/>
          </a:endParaRPr>
        </a:p>
        <a:p>
          <a:r>
            <a:rPr lang="en-US" sz="1600" b="0" i="0">
              <a:latin typeface="Cambria Math" panose="02040503050406030204" pitchFamily="18" charset="0"/>
            </a:rPr>
            <a:t>       𝐶_(𝑑(𝑟)) 𝐴_𝑟=(2𝐹_(𝐷(𝑟)))/(</a:t>
          </a:r>
          <a:r>
            <a:rPr lang="en-US" sz="1600" b="0" i="0">
              <a:latin typeface="Cambria Math" panose="02040503050406030204" pitchFamily="18" charset="0"/>
              <a:ea typeface="Cambria Math" panose="02040503050406030204" pitchFamily="18" charset="0"/>
            </a:rPr>
            <a:t>𝜌𝑉^2 ) </a:t>
          </a:r>
          <a:endParaRPr lang="en-US" sz="1600" b="0" i="1">
            <a:latin typeface="Cambria Math" panose="02040503050406030204" pitchFamily="18" charset="0"/>
          </a:endParaRPr>
        </a:p>
        <a:p>
          <a:r>
            <a:rPr lang="en-US" sz="1600" b="0" i="0">
              <a:latin typeface="Cambria Math" panose="02040503050406030204" pitchFamily="18" charset="0"/>
            </a:rPr>
            <a:t>  𝐶_𝑑(𝑠) =(</a:t>
          </a:r>
          <a:r>
            <a:rPr lang="en-US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𝐶</a:t>
          </a:r>
          <a:r>
            <a:rPr lang="en-NZ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_(</a:t>
          </a:r>
          <a:r>
            <a:rPr lang="en-US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𝑑(𝑠+𝑟)</a:t>
          </a:r>
          <a:r>
            <a:rPr lang="en-NZ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 </a:t>
          </a:r>
          <a:r>
            <a:rPr lang="en-US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𝐴</a:t>
          </a:r>
          <a:r>
            <a:rPr lang="en-NZ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_(</a:t>
          </a:r>
          <a:r>
            <a:rPr lang="en-US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(𝑠+𝑟)</a:t>
          </a:r>
          <a:r>
            <a:rPr lang="en-NZ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</a:t>
          </a:r>
          <a:r>
            <a:rPr lang="en-US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−𝐶_(𝑑(𝑟)) 𝐴_𝑟</a:t>
          </a:r>
          <a:r>
            <a:rPr lang="en-US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)/</a:t>
          </a:r>
          <a:r>
            <a:rPr lang="en-US" sz="1600" b="0" i="0">
              <a:latin typeface="Cambria Math" panose="02040503050406030204" pitchFamily="18" charset="0"/>
            </a:rPr>
            <a:t>𝐴_𝑠 </a:t>
          </a:r>
          <a:endParaRPr lang="en-NZ" sz="1100"/>
        </a:p>
      </xdr:txBody>
    </xdr:sp>
    <xdr:clientData/>
  </xdr:twoCellAnchor>
  <xdr:twoCellAnchor>
    <xdr:from>
      <xdr:col>17</xdr:col>
      <xdr:colOff>605037</xdr:colOff>
      <xdr:row>20</xdr:row>
      <xdr:rowOff>1738</xdr:rowOff>
    </xdr:from>
    <xdr:to>
      <xdr:col>24</xdr:col>
      <xdr:colOff>0</xdr:colOff>
      <xdr:row>57</xdr:row>
      <xdr:rowOff>22860</xdr:rowOff>
    </xdr:to>
    <xdr:sp macro="" textlink="">
      <xdr:nvSpPr>
        <xdr:cNvPr id="5" name="TextBox 4"/>
        <xdr:cNvSpPr txBox="1"/>
      </xdr:nvSpPr>
      <xdr:spPr>
        <a:xfrm>
          <a:off x="11133337" y="4827738"/>
          <a:ext cx="4728963" cy="70696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Blockage corrections:</a:t>
          </a:r>
        </a:p>
        <a:p>
          <a:pPr algn="l"/>
          <a:r>
            <a:rPr lang="en-US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Solid</a:t>
          </a:r>
          <a:r>
            <a:rPr lang="en-US" sz="1600" i="0" baseline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 blockage correction:</a:t>
          </a:r>
          <a:endParaRPr lang="en-US" sz="1600" i="0">
            <a:solidFill>
              <a:schemeClr val="dk1"/>
            </a:solidFill>
            <a:effectLst/>
            <a:latin typeface="Cambria Math" panose="02040503050406030204" pitchFamily="18" charset="0"/>
            <a:ea typeface="+mn-ea"/>
            <a:cs typeface="+mn-cs"/>
          </a:endParaRPr>
        </a:p>
        <a:p>
          <a:pPr algn="l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𝜀_3𝑠=𝐾_3𝑠/𝛽^3  (𝐵/𝐻+𝐻/𝐵)^𝑛 (𝑉/(2𝐿_𝑚 ))^(1/2) (𝑠/𝑐^(3/2) )</a:t>
          </a:r>
          <a:endParaRPr lang="en-US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𝐶_𝑑(𝑐𝑜𝑟𝑟𝑒𝑐𝑡</a:t>
          </a:r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𝑒𝑑) </a:t>
          </a:r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=𝐶_(𝑑(𝑚𝑒𝑎𝑠𝑢𝑟𝑒𝑑))/((1+〖</a:t>
          </a:r>
          <a:r>
            <a:rPr lang="en-NZ" sz="11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𝜀</a:t>
          </a:r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</a:t>
          </a:r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3𝑠〗^</a:t>
          </a:r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2</a:t>
          </a:r>
          <a:r>
            <a:rPr lang="en-US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</a:t>
          </a:r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</a:t>
          </a:r>
          <a:endParaRPr lang="en-NZ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endParaRPr lang="en-US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Wake blockage:              </a:t>
          </a:r>
          <a:endParaRPr lang="en-US" sz="24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(𝐶_𝐷𝑢/𝐶_𝐷𝐶 )=1+𝜃𝐶_𝐷𝑐 (𝑆/𝐶)</a:t>
          </a:r>
          <a:endParaRPr lang="en-NZ" sz="2400">
            <a:effectLst/>
          </a:endParaRPr>
        </a:p>
        <a:p>
          <a:pPr rtl="0" eaLnBrk="1" fontAlgn="auto" latinLnBrk="0" hangingPunct="1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𝜃</a:t>
          </a:r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=0.96+1.94exp[−0.06(ℎ/𝑏)]</a:t>
          </a:r>
          <a:endParaRPr lang="en-NZ" sz="2400">
            <a:effectLst/>
          </a:endParaRPr>
        </a:p>
        <a:p>
          <a:pPr rtl="0" eaLnBrk="1" latinLnBrk="0" hangingPunct="1"/>
          <a:endParaRPr lang="en-US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rtl="0" eaLnBrk="1" latinLnBrk="0" hangingPunct="1"/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</a:t>
          </a:r>
          <a:r>
            <a:rPr lang="en-US" sz="16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</a:t>
          </a:r>
          <a:r>
            <a:rPr lang="en-US" sz="16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area of model </a:t>
          </a:r>
          <a:endParaRPr lang="en-US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rtl="0" eaLnBrk="1" latinLnBrk="0" hangingPunct="1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〖𝐿〗_𝑚</a:t>
          </a:r>
          <a:r>
            <a:rPr lang="en-NZ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=model height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C=tunnel cross-sectional area 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V=model volume 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n=2.94, 𝐾_3𝑠=0.41 </a:t>
          </a:r>
          <a:r>
            <a:rPr lang="en-NZ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closed tunnel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𝐵/𝐻=1 </a:t>
          </a:r>
          <a:r>
            <a:rPr lang="en-NZ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closed tunnel     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𝛽</a:t>
          </a:r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=√(1−𝑀^2 )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𝑀=𝑉/(𝑠𝑜𝑢𝑛𝑑 𝑠𝑝𝑒𝑒𝑑 )</a:t>
          </a:r>
          <a:endParaRPr lang="en-NZ" sz="1600">
            <a:effectLst/>
          </a:endParaRPr>
        </a:p>
        <a:p>
          <a:pPr rtl="0" eaLnBrk="1" latinLnBrk="0" hangingPunct="1"/>
          <a:endParaRPr lang="en-NZ" sz="1100"/>
        </a:p>
        <a:p>
          <a:pPr rtl="0" eaLnBrk="1" latinLnBrk="0" hangingPunct="1"/>
          <a:r>
            <a:rPr lang="en-NZ" sz="1100"/>
            <a:t>FromCooper KR, Merkcer E and Wiedemann J,</a:t>
          </a:r>
          <a:r>
            <a:rPr lang="en-NZ" sz="1100" baseline="0"/>
            <a:t> "Improved blockage corrections for bluff bodies in open and closed wind tunnels", Wind Engineering into the 21st Centruy, Larsen, Larose and Livesey (eds) 1999, Balkema, Rotterdam, ISBN 90 5809 059 0</a:t>
          </a:r>
          <a:endParaRPr lang="en-NZ" sz="1100"/>
        </a:p>
      </xdr:txBody>
    </xdr:sp>
    <xdr:clientData/>
  </xdr:twoCellAnchor>
  <xdr:twoCellAnchor>
    <xdr:from>
      <xdr:col>1</xdr:col>
      <xdr:colOff>0</xdr:colOff>
      <xdr:row>19</xdr:row>
      <xdr:rowOff>185420</xdr:rowOff>
    </xdr:from>
    <xdr:to>
      <xdr:col>10</xdr:col>
      <xdr:colOff>0</xdr:colOff>
      <xdr:row>40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32</xdr:col>
      <xdr:colOff>302260</xdr:colOff>
      <xdr:row>41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409575</xdr:colOff>
          <xdr:row>2</xdr:row>
          <xdr:rowOff>38100</xdr:rowOff>
        </xdr:from>
        <xdr:to>
          <xdr:col>14</xdr:col>
          <xdr:colOff>219075</xdr:colOff>
          <xdr:row>13</xdr:row>
          <xdr:rowOff>152400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2</xdr:row>
      <xdr:rowOff>266700</xdr:rowOff>
    </xdr:from>
    <xdr:to>
      <xdr:col>14</xdr:col>
      <xdr:colOff>441960</xdr:colOff>
      <xdr:row>15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</xdr:row>
      <xdr:rowOff>502920</xdr:rowOff>
    </xdr:from>
    <xdr:to>
      <xdr:col>22</xdr:col>
      <xdr:colOff>533400</xdr:colOff>
      <xdr:row>16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340541</xdr:colOff>
      <xdr:row>4</xdr:row>
      <xdr:rowOff>36149</xdr:rowOff>
    </xdr:from>
    <xdr:ext cx="1476375" cy="264560"/>
    <xdr:sp macro="" textlink="">
      <xdr:nvSpPr>
        <xdr:cNvPr id="2" name="TextBox 1"/>
        <xdr:cNvSpPr txBox="1"/>
      </xdr:nvSpPr>
      <xdr:spPr>
        <a:xfrm>
          <a:off x="3449501" y="805769"/>
          <a:ext cx="1476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NZ" sz="1100" b="0" i="0">
              <a:latin typeface="Cambria Math"/>
            </a:rPr>
            <a:t>𝑇=℃+273</a:t>
          </a:r>
          <a:endParaRPr lang="en-NZ" sz="1100"/>
        </a:p>
      </xdr:txBody>
    </xdr:sp>
    <xdr:clientData/>
  </xdr:oneCellAnchor>
  <xdr:oneCellAnchor>
    <xdr:from>
      <xdr:col>5</xdr:col>
      <xdr:colOff>451575</xdr:colOff>
      <xdr:row>3</xdr:row>
      <xdr:rowOff>135934</xdr:rowOff>
    </xdr:from>
    <xdr:ext cx="1552575" cy="456920"/>
    <xdr:sp macro="" textlink="">
      <xdr:nvSpPr>
        <xdr:cNvPr id="3" name="TextBox 2"/>
        <xdr:cNvSpPr txBox="1"/>
      </xdr:nvSpPr>
      <xdr:spPr>
        <a:xfrm>
          <a:off x="2280375" y="699814"/>
          <a:ext cx="1552575" cy="4569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NZ" sz="1100" i="0">
              <a:latin typeface="Cambria Math"/>
              <a:ea typeface="Cambria Math"/>
            </a:rPr>
            <a:t>𝜌</a:t>
          </a:r>
          <a:r>
            <a:rPr lang="en-NZ" sz="1100" b="0" i="0">
              <a:latin typeface="Cambria Math"/>
              <a:ea typeface="Cambria Math"/>
            </a:rPr>
            <a:t>=𝑃</a:t>
          </a:r>
          <a:r>
            <a:rPr lang="en-NZ" sz="1100" b="0" i="0">
              <a:latin typeface="Cambria Math" panose="02040503050406030204" pitchFamily="18" charset="0"/>
              <a:ea typeface="Cambria Math"/>
            </a:rPr>
            <a:t>/(</a:t>
          </a:r>
          <a:r>
            <a:rPr lang="en-NZ" sz="1100" b="0" i="0">
              <a:latin typeface="Cambria Math"/>
              <a:ea typeface="Cambria Math"/>
            </a:rPr>
            <a:t>𝑅</a:t>
          </a:r>
          <a:r>
            <a:rPr lang="en-NZ" sz="1100" b="0" i="0">
              <a:latin typeface="Cambria Math" panose="02040503050406030204" pitchFamily="18" charset="0"/>
              <a:ea typeface="Cambria Math"/>
            </a:rPr>
            <a:t>_</a:t>
          </a:r>
          <a:r>
            <a:rPr lang="en-NZ" sz="1100" b="0" i="0">
              <a:latin typeface="Cambria Math"/>
              <a:ea typeface="Cambria Math"/>
            </a:rPr>
            <a:t>𝑠𝑝𝑒𝑐𝑖𝑓𝑖𝑐 𝑇</a:t>
          </a:r>
          <a:r>
            <a:rPr lang="en-NZ" sz="1100" b="0" i="0">
              <a:latin typeface="Cambria Math" panose="02040503050406030204" pitchFamily="18" charset="0"/>
              <a:ea typeface="Cambria Math"/>
            </a:rPr>
            <a:t>)</a:t>
          </a:r>
          <a:endParaRPr lang="en-NZ" sz="1100"/>
        </a:p>
      </xdr:txBody>
    </xdr:sp>
    <xdr:clientData/>
  </xdr:oneCellAnchor>
  <xdr:twoCellAnchor>
    <xdr:from>
      <xdr:col>17</xdr:col>
      <xdr:colOff>212716</xdr:colOff>
      <xdr:row>20</xdr:row>
      <xdr:rowOff>189744</xdr:rowOff>
    </xdr:from>
    <xdr:to>
      <xdr:col>22</xdr:col>
      <xdr:colOff>1003300</xdr:colOff>
      <xdr:row>32</xdr:row>
      <xdr:rowOff>103153</xdr:rowOff>
    </xdr:to>
    <xdr:sp macro="" textlink="">
      <xdr:nvSpPr>
        <xdr:cNvPr id="4" name="TextBox 3"/>
        <xdr:cNvSpPr txBox="1"/>
      </xdr:nvSpPr>
      <xdr:spPr>
        <a:xfrm>
          <a:off x="10741016" y="5015744"/>
          <a:ext cx="4498984" cy="21994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 b="1"/>
            <a:t>Sting</a:t>
          </a:r>
          <a:r>
            <a:rPr lang="en-NZ" sz="1400" b="1" baseline="0"/>
            <a:t> correction: </a:t>
          </a:r>
        </a:p>
        <a:p>
          <a:r>
            <a:rPr lang="en-US" sz="1600" b="0" i="0">
              <a:latin typeface="Cambria Math" panose="02040503050406030204" pitchFamily="18" charset="0"/>
            </a:rPr>
            <a:t>𝐶</a:t>
          </a:r>
          <a:r>
            <a:rPr lang="en-NZ" sz="1600" b="0" i="0">
              <a:latin typeface="Cambria Math" panose="02040503050406030204" pitchFamily="18" charset="0"/>
            </a:rPr>
            <a:t>_(</a:t>
          </a:r>
          <a:r>
            <a:rPr lang="en-US" sz="1600" b="0" i="0">
              <a:latin typeface="Cambria Math" panose="02040503050406030204" pitchFamily="18" charset="0"/>
            </a:rPr>
            <a:t>𝑑(𝑠+𝑟)</a:t>
          </a:r>
          <a:r>
            <a:rPr lang="en-NZ" sz="1600" b="0" i="0">
              <a:latin typeface="Cambria Math" panose="02040503050406030204" pitchFamily="18" charset="0"/>
            </a:rPr>
            <a:t>) </a:t>
          </a:r>
          <a:r>
            <a:rPr lang="en-US" sz="1600" b="0" i="0">
              <a:latin typeface="Cambria Math" panose="02040503050406030204" pitchFamily="18" charset="0"/>
            </a:rPr>
            <a:t>𝐴</a:t>
          </a:r>
          <a:r>
            <a:rPr lang="en-NZ" sz="1600" b="0" i="0">
              <a:latin typeface="Cambria Math" panose="02040503050406030204" pitchFamily="18" charset="0"/>
            </a:rPr>
            <a:t>_(</a:t>
          </a:r>
          <a:r>
            <a:rPr lang="en-US" sz="1600" b="0" i="0">
              <a:latin typeface="Cambria Math" panose="02040503050406030204" pitchFamily="18" charset="0"/>
            </a:rPr>
            <a:t>(𝑠+𝑟)</a:t>
          </a:r>
          <a:r>
            <a:rPr lang="en-NZ" sz="1600" b="0" i="0">
              <a:latin typeface="Cambria Math" panose="02040503050406030204" pitchFamily="18" charset="0"/>
            </a:rPr>
            <a:t>)</a:t>
          </a:r>
          <a:r>
            <a:rPr lang="en-US" sz="1600" b="0" i="0">
              <a:latin typeface="Cambria Math" panose="02040503050406030204" pitchFamily="18" charset="0"/>
            </a:rPr>
            <a:t>=(2𝐹_(𝐷(𝑠+𝑟)))/(</a:t>
          </a:r>
          <a:r>
            <a:rPr lang="en-US" sz="1600" b="0" i="0">
              <a:latin typeface="Cambria Math" panose="02040503050406030204" pitchFamily="18" charset="0"/>
              <a:ea typeface="Cambria Math" panose="02040503050406030204" pitchFamily="18" charset="0"/>
            </a:rPr>
            <a:t>𝜌𝑉^2 ) </a:t>
          </a:r>
          <a:endParaRPr lang="en-US" sz="1600" b="0" i="1">
            <a:latin typeface="Cambria Math" panose="02040503050406030204" pitchFamily="18" charset="0"/>
          </a:endParaRPr>
        </a:p>
        <a:p>
          <a:r>
            <a:rPr lang="en-US" sz="1600" b="0" i="0">
              <a:latin typeface="Cambria Math" panose="02040503050406030204" pitchFamily="18" charset="0"/>
            </a:rPr>
            <a:t>       𝐶_(𝑑(𝑟)) 𝐴_𝑟=(2𝐹_(𝐷(𝑟)))/(</a:t>
          </a:r>
          <a:r>
            <a:rPr lang="en-US" sz="1600" b="0" i="0">
              <a:latin typeface="Cambria Math" panose="02040503050406030204" pitchFamily="18" charset="0"/>
              <a:ea typeface="Cambria Math" panose="02040503050406030204" pitchFamily="18" charset="0"/>
            </a:rPr>
            <a:t>𝜌𝑉^2 ) </a:t>
          </a:r>
          <a:endParaRPr lang="en-US" sz="1600" b="0" i="1">
            <a:latin typeface="Cambria Math" panose="02040503050406030204" pitchFamily="18" charset="0"/>
          </a:endParaRPr>
        </a:p>
        <a:p>
          <a:r>
            <a:rPr lang="en-US" sz="1600" b="0" i="0">
              <a:latin typeface="Cambria Math" panose="02040503050406030204" pitchFamily="18" charset="0"/>
            </a:rPr>
            <a:t>  𝐶_𝑑(𝑠) =(</a:t>
          </a:r>
          <a:r>
            <a:rPr lang="en-US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𝐶</a:t>
          </a:r>
          <a:r>
            <a:rPr lang="en-NZ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_(</a:t>
          </a:r>
          <a:r>
            <a:rPr lang="en-US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𝑑(𝑠+𝑟)</a:t>
          </a:r>
          <a:r>
            <a:rPr lang="en-NZ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 </a:t>
          </a:r>
          <a:r>
            <a:rPr lang="en-US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𝐴</a:t>
          </a:r>
          <a:r>
            <a:rPr lang="en-NZ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_(</a:t>
          </a:r>
          <a:r>
            <a:rPr lang="en-US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(𝑠+𝑟)</a:t>
          </a:r>
          <a:r>
            <a:rPr lang="en-NZ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</a:t>
          </a:r>
          <a:r>
            <a:rPr lang="en-US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−𝐶_(𝑑(𝑟)) 𝐴_𝑟</a:t>
          </a:r>
          <a:r>
            <a:rPr lang="en-US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)/</a:t>
          </a:r>
          <a:r>
            <a:rPr lang="en-US" sz="1600" b="0" i="0">
              <a:latin typeface="Cambria Math" panose="02040503050406030204" pitchFamily="18" charset="0"/>
            </a:rPr>
            <a:t>𝐴_𝑠 </a:t>
          </a:r>
          <a:endParaRPr lang="en-NZ" sz="1100"/>
        </a:p>
      </xdr:txBody>
    </xdr:sp>
    <xdr:clientData/>
  </xdr:twoCellAnchor>
  <xdr:twoCellAnchor>
    <xdr:from>
      <xdr:col>17</xdr:col>
      <xdr:colOff>211337</xdr:colOff>
      <xdr:row>32</xdr:row>
      <xdr:rowOff>116038</xdr:rowOff>
    </xdr:from>
    <xdr:to>
      <xdr:col>22</xdr:col>
      <xdr:colOff>1002002</xdr:colOff>
      <xdr:row>69</xdr:row>
      <xdr:rowOff>137160</xdr:rowOff>
    </xdr:to>
    <xdr:sp macro="" textlink="">
      <xdr:nvSpPr>
        <xdr:cNvPr id="5" name="TextBox 4"/>
        <xdr:cNvSpPr txBox="1"/>
      </xdr:nvSpPr>
      <xdr:spPr>
        <a:xfrm>
          <a:off x="10739637" y="7228038"/>
          <a:ext cx="4499065" cy="70696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Blockage corrections:</a:t>
          </a:r>
        </a:p>
        <a:p>
          <a:pPr algn="l"/>
          <a:r>
            <a:rPr lang="en-US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Solid</a:t>
          </a:r>
          <a:r>
            <a:rPr lang="en-US" sz="1600" i="0" baseline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 blockage correction:</a:t>
          </a:r>
          <a:endParaRPr lang="en-US" sz="1600" i="0">
            <a:solidFill>
              <a:schemeClr val="dk1"/>
            </a:solidFill>
            <a:effectLst/>
            <a:latin typeface="Cambria Math" panose="02040503050406030204" pitchFamily="18" charset="0"/>
            <a:ea typeface="+mn-ea"/>
            <a:cs typeface="+mn-cs"/>
          </a:endParaRPr>
        </a:p>
        <a:p>
          <a:pPr algn="l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𝜀_3𝑠=𝐾_3𝑠/𝛽^3  (𝐵/𝐻+𝐻/𝐵)^𝑛 (𝑉/(2𝐿_𝑚 ))^(1/2) (𝑠/𝑐^(3/2) )</a:t>
          </a:r>
          <a:endParaRPr lang="en-US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𝐶_𝑑(𝑐𝑜𝑟𝑟𝑒𝑐𝑡</a:t>
          </a:r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𝑒𝑑) </a:t>
          </a:r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=𝐶_(𝑑(𝑚𝑒𝑎𝑠𝑢𝑟𝑒𝑑))/((1+〖</a:t>
          </a:r>
          <a:r>
            <a:rPr lang="en-NZ" sz="11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𝜀</a:t>
          </a:r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</a:t>
          </a:r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3𝑠〗^</a:t>
          </a:r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2</a:t>
          </a:r>
          <a:r>
            <a:rPr lang="en-US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</a:t>
          </a:r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</a:t>
          </a:r>
          <a:endParaRPr lang="en-NZ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endParaRPr lang="en-US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Wake blockage:              </a:t>
          </a:r>
          <a:endParaRPr lang="en-US" sz="24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(𝐶_𝐷𝑢/𝐶_𝐷𝐶 )=1+𝜃𝐶_𝐷𝑐 (𝑆/𝐶)</a:t>
          </a:r>
          <a:endParaRPr lang="en-NZ" sz="2400">
            <a:effectLst/>
          </a:endParaRPr>
        </a:p>
        <a:p>
          <a:pPr rtl="0" eaLnBrk="1" fontAlgn="auto" latinLnBrk="0" hangingPunct="1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𝜃</a:t>
          </a:r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=0.96+1.94exp[−0.06(ℎ/𝑏)]</a:t>
          </a:r>
          <a:endParaRPr lang="en-NZ" sz="2400">
            <a:effectLst/>
          </a:endParaRPr>
        </a:p>
        <a:p>
          <a:pPr rtl="0" eaLnBrk="1" latinLnBrk="0" hangingPunct="1"/>
          <a:endParaRPr lang="en-US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rtl="0" eaLnBrk="1" latinLnBrk="0" hangingPunct="1"/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</a:t>
          </a:r>
          <a:r>
            <a:rPr lang="en-US" sz="16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</a:t>
          </a:r>
          <a:r>
            <a:rPr lang="en-US" sz="16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area of model </a:t>
          </a:r>
          <a:endParaRPr lang="en-US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rtl="0" eaLnBrk="1" latinLnBrk="0" hangingPunct="1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〖𝐿〗_𝑚</a:t>
          </a:r>
          <a:r>
            <a:rPr lang="en-NZ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=model height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C=tunnel cross-sectional area 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V=model volume 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n=2.94, 𝐾_3𝑠=0.41 </a:t>
          </a:r>
          <a:r>
            <a:rPr lang="en-NZ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closed tunnel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𝐵/𝐻=1 </a:t>
          </a:r>
          <a:r>
            <a:rPr lang="en-NZ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closed tunnel     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𝛽</a:t>
          </a:r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=√(1−𝑀^2 )</a:t>
          </a:r>
          <a:endParaRPr lang="en-NZ" sz="1600">
            <a:effectLst/>
          </a:endParaRPr>
        </a:p>
        <a:p>
          <a:pPr algn="ctr" rtl="0" eaLnBrk="1" latinLnBrk="0" hangingPunct="1"/>
          <a:r>
            <a:rPr lang="en-NZ" sz="16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𝑀=𝑉/(𝑠𝑜𝑢𝑛𝑑 𝑠𝑝𝑒𝑒𝑑 )</a:t>
          </a:r>
          <a:endParaRPr lang="en-NZ" sz="1600">
            <a:effectLst/>
          </a:endParaRPr>
        </a:p>
        <a:p>
          <a:pPr rtl="0" eaLnBrk="1" latinLnBrk="0" hangingPunct="1"/>
          <a:endParaRPr lang="en-NZ" sz="1100"/>
        </a:p>
        <a:p>
          <a:pPr rtl="0" eaLnBrk="1" latinLnBrk="0" hangingPunct="1"/>
          <a:r>
            <a:rPr lang="en-NZ" sz="1100"/>
            <a:t>FromCooper KR, Merkcer E and Wiedemann J,</a:t>
          </a:r>
          <a:r>
            <a:rPr lang="en-NZ" sz="1100" baseline="0"/>
            <a:t> "Improved blockage corrections for bluff bodies in open and closed wind tunnels", Wind Engineering into the 21st Centruy, Larsen, Larose and Livesey (eds) 1999, Balkema, Rotterdam, ISBN 90 5809 059 0</a:t>
          </a:r>
          <a:endParaRPr lang="en-NZ" sz="1100"/>
        </a:p>
      </xdr:txBody>
    </xdr:sp>
    <xdr:clientData/>
  </xdr:twoCellAnchor>
  <xdr:twoCellAnchor>
    <xdr:from>
      <xdr:col>9</xdr:col>
      <xdr:colOff>0</xdr:colOff>
      <xdr:row>20</xdr:row>
      <xdr:rowOff>185420</xdr:rowOff>
    </xdr:from>
    <xdr:to>
      <xdr:col>17</xdr:col>
      <xdr:colOff>203200</xdr:colOff>
      <xdr:row>41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12700</xdr:colOff>
      <xdr:row>21</xdr:row>
      <xdr:rowOff>25400</xdr:rowOff>
    </xdr:from>
    <xdr:to>
      <xdr:col>32</xdr:col>
      <xdr:colOff>314960</xdr:colOff>
      <xdr:row>42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0</xdr:colOff>
      <xdr:row>41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tabSelected="1" zoomScale="75" zoomScaleNormal="75" workbookViewId="0">
      <selection activeCell="K7" sqref="K7"/>
    </sheetView>
  </sheetViews>
  <sheetFormatPr defaultRowHeight="15" x14ac:dyDescent="0.25"/>
  <cols>
    <col min="3" max="3" width="10.28515625" customWidth="1"/>
    <col min="6" max="6" width="9.85546875" customWidth="1"/>
    <col min="9" max="9" width="11" customWidth="1"/>
    <col min="11" max="11" width="10.85546875" customWidth="1"/>
    <col min="20" max="20" width="11.42578125" customWidth="1"/>
    <col min="21" max="22" width="12.85546875" customWidth="1"/>
    <col min="23" max="23" width="15.140625" customWidth="1"/>
    <col min="27" max="27" width="15.5703125" customWidth="1"/>
    <col min="28" max="28" width="16.140625" customWidth="1"/>
    <col min="29" max="29" width="13.42578125" customWidth="1"/>
    <col min="32" max="32" width="13.140625" customWidth="1"/>
    <col min="33" max="33" width="17.85546875" customWidth="1"/>
    <col min="36" max="36" width="14.140625" customWidth="1"/>
    <col min="39" max="39" width="13" customWidth="1"/>
  </cols>
  <sheetData>
    <row r="1" spans="1:39" x14ac:dyDescent="0.25">
      <c r="A1" s="66" t="s">
        <v>53</v>
      </c>
      <c r="B1" s="66"/>
      <c r="C1" s="66"/>
      <c r="D1" s="66"/>
      <c r="E1" s="66"/>
      <c r="F1" s="66"/>
      <c r="G1" s="66"/>
      <c r="H1" s="66"/>
      <c r="I1" s="39"/>
      <c r="J1" s="39"/>
    </row>
    <row r="2" spans="1:39" x14ac:dyDescent="0.25">
      <c r="A2" s="57" t="s">
        <v>47</v>
      </c>
    </row>
    <row r="3" spans="1:39" ht="18.75" x14ac:dyDescent="0.35">
      <c r="A3" s="17" t="s">
        <v>55</v>
      </c>
      <c r="B3" s="17" t="s">
        <v>11</v>
      </c>
      <c r="D3" s="46"/>
      <c r="E3" s="46"/>
      <c r="Q3" s="57" t="s">
        <v>46</v>
      </c>
    </row>
    <row r="4" spans="1:39" x14ac:dyDescent="0.25">
      <c r="A4" s="48">
        <v>21</v>
      </c>
      <c r="B4" s="47">
        <f>A6/(287*(A4+273.15))</f>
        <v>1.2070449254066375</v>
      </c>
      <c r="Q4" s="14" t="s">
        <v>33</v>
      </c>
      <c r="R4" s="14">
        <v>1</v>
      </c>
      <c r="S4" s="14" t="s">
        <v>31</v>
      </c>
      <c r="T4" s="2"/>
      <c r="AE4" s="2"/>
      <c r="AF4" s="2"/>
    </row>
    <row r="5" spans="1:39" ht="18" x14ac:dyDescent="0.35">
      <c r="A5" s="17" t="s">
        <v>56</v>
      </c>
      <c r="B5" s="17" t="s">
        <v>19</v>
      </c>
      <c r="H5" s="12"/>
      <c r="I5" s="12"/>
      <c r="J5" s="13"/>
      <c r="K5" s="13"/>
      <c r="Q5" s="14" t="s">
        <v>32</v>
      </c>
      <c r="R5" s="14">
        <v>0.41</v>
      </c>
      <c r="S5" s="14" t="s">
        <v>31</v>
      </c>
      <c r="T5" s="3"/>
      <c r="AE5" s="2"/>
      <c r="AF5" s="2"/>
    </row>
    <row r="6" spans="1:39" x14ac:dyDescent="0.25">
      <c r="A6" s="48">
        <v>101900</v>
      </c>
      <c r="B6" s="47">
        <f>0.00000009*'Measured data corrections'!A4+0.0000133</f>
        <v>1.519E-5</v>
      </c>
      <c r="H6" s="12"/>
      <c r="I6" s="12"/>
      <c r="J6" s="13"/>
      <c r="K6" s="13"/>
      <c r="Q6" s="14" t="s">
        <v>28</v>
      </c>
      <c r="R6" s="14">
        <v>0.90500000000000003</v>
      </c>
      <c r="S6" s="14" t="s">
        <v>4</v>
      </c>
      <c r="T6" s="4"/>
      <c r="AE6" s="2"/>
      <c r="AF6" s="2"/>
    </row>
    <row r="7" spans="1:39" x14ac:dyDescent="0.25">
      <c r="A7" s="17"/>
      <c r="B7" s="46" t="s">
        <v>27</v>
      </c>
      <c r="H7" s="12"/>
      <c r="I7" s="12"/>
      <c r="J7" s="13"/>
      <c r="K7" s="13"/>
      <c r="Q7" s="14" t="s">
        <v>29</v>
      </c>
      <c r="R7" s="14">
        <v>1.22</v>
      </c>
      <c r="S7" s="14" t="s">
        <v>4</v>
      </c>
      <c r="T7" s="4"/>
      <c r="AE7" s="2"/>
      <c r="AF7" s="2"/>
    </row>
    <row r="8" spans="1:39" ht="17.25" x14ac:dyDescent="0.25">
      <c r="A8" s="47"/>
      <c r="B8">
        <f>0.6*A4+331</f>
        <v>343.6</v>
      </c>
      <c r="H8" s="12"/>
      <c r="I8" s="12"/>
      <c r="J8" s="13"/>
      <c r="K8" s="13"/>
      <c r="Q8" s="16" t="s">
        <v>30</v>
      </c>
      <c r="R8" s="16">
        <f>R6*R7</f>
        <v>1.1041000000000001</v>
      </c>
      <c r="S8" s="16" t="s">
        <v>7</v>
      </c>
      <c r="U8" s="5"/>
    </row>
    <row r="9" spans="1:39" x14ac:dyDescent="0.25">
      <c r="A9" s="17" t="s">
        <v>20</v>
      </c>
      <c r="B9" s="17" t="s">
        <v>22</v>
      </c>
      <c r="H9" s="12"/>
      <c r="I9" s="12"/>
      <c r="J9" s="13"/>
      <c r="K9" s="13"/>
      <c r="Q9" s="52"/>
      <c r="R9" s="52"/>
      <c r="S9" s="52"/>
    </row>
    <row r="10" spans="1:39" x14ac:dyDescent="0.25">
      <c r="A10" s="48">
        <v>215</v>
      </c>
      <c r="B10" s="49">
        <f>A10*A12*0.000001</f>
        <v>2.15E-3</v>
      </c>
      <c r="H10" s="12"/>
      <c r="I10" s="12"/>
      <c r="J10" s="13"/>
      <c r="K10" s="13"/>
      <c r="Q10" s="2"/>
      <c r="R10" s="2"/>
      <c r="S10" s="2"/>
    </row>
    <row r="11" spans="1:39" x14ac:dyDescent="0.25">
      <c r="A11" s="17" t="s">
        <v>21</v>
      </c>
      <c r="B11" s="17"/>
      <c r="H11" s="2"/>
      <c r="I11" s="2"/>
      <c r="J11" s="13"/>
      <c r="K11" s="13"/>
      <c r="Q11" s="63"/>
      <c r="R11" s="52"/>
      <c r="S11" s="52"/>
      <c r="AH11" s="2"/>
      <c r="AI11" s="2"/>
      <c r="AJ11" s="2"/>
      <c r="AK11" s="2"/>
      <c r="AL11" s="2"/>
      <c r="AM11" s="2"/>
    </row>
    <row r="12" spans="1:39" ht="21" x14ac:dyDescent="0.35">
      <c r="A12" s="50">
        <v>10</v>
      </c>
      <c r="B12" s="51"/>
      <c r="H12" s="12"/>
      <c r="I12" s="12"/>
      <c r="J12" s="13"/>
      <c r="K12" s="13"/>
      <c r="Q12" s="52"/>
      <c r="R12" s="52"/>
      <c r="S12" s="52"/>
      <c r="AH12" s="40"/>
      <c r="AI12" s="2"/>
      <c r="AJ12" s="41"/>
      <c r="AK12" s="40"/>
      <c r="AL12" s="2"/>
      <c r="AM12" s="2"/>
    </row>
    <row r="13" spans="1:39" s="2" customFormat="1" ht="21" x14ac:dyDescent="0.35">
      <c r="H13" s="12"/>
      <c r="I13" s="12"/>
      <c r="J13" s="13"/>
      <c r="K13" s="13"/>
      <c r="AA13" s="52"/>
      <c r="AB13" s="52"/>
      <c r="AC13" s="52"/>
      <c r="AH13" s="40"/>
      <c r="AJ13" s="41"/>
      <c r="AK13" s="40"/>
    </row>
    <row r="14" spans="1:39" ht="21" x14ac:dyDescent="0.35">
      <c r="A14" s="96" t="s">
        <v>12</v>
      </c>
      <c r="B14" s="68"/>
      <c r="C14" s="68"/>
      <c r="D14" s="68"/>
      <c r="E14" s="68"/>
      <c r="F14" s="68"/>
      <c r="G14" s="69"/>
      <c r="H14" s="2"/>
      <c r="I14" s="95" t="s">
        <v>40</v>
      </c>
      <c r="J14" s="70"/>
      <c r="K14" s="70"/>
      <c r="L14" s="71"/>
      <c r="M14" s="53"/>
      <c r="N14" s="94" t="s">
        <v>41</v>
      </c>
      <c r="O14" s="72"/>
      <c r="P14" s="73"/>
      <c r="Q14" s="74"/>
      <c r="S14" s="75" t="s">
        <v>44</v>
      </c>
      <c r="T14" s="76"/>
      <c r="U14" s="77"/>
      <c r="V14" s="76"/>
      <c r="W14" s="76"/>
      <c r="X14" s="78"/>
      <c r="Y14" s="40"/>
      <c r="Z14" s="59" t="s">
        <v>48</v>
      </c>
      <c r="AA14" s="41"/>
      <c r="AB14" s="2"/>
      <c r="AC14" s="2"/>
    </row>
    <row r="15" spans="1:39" ht="69" customHeight="1" x14ac:dyDescent="0.25">
      <c r="A15" s="91" t="s">
        <v>50</v>
      </c>
      <c r="B15" s="84" t="s">
        <v>9</v>
      </c>
      <c r="C15" s="85" t="s">
        <v>39</v>
      </c>
      <c r="D15" s="85" t="s">
        <v>51</v>
      </c>
      <c r="E15" s="91" t="s">
        <v>25</v>
      </c>
      <c r="F15" s="86" t="s">
        <v>1</v>
      </c>
      <c r="G15" s="86" t="s">
        <v>2</v>
      </c>
      <c r="H15" s="2"/>
      <c r="I15" s="87" t="s">
        <v>3</v>
      </c>
      <c r="J15" s="88" t="s">
        <v>0</v>
      </c>
      <c r="K15" s="89" t="s">
        <v>1</v>
      </c>
      <c r="L15" s="89" t="s">
        <v>2</v>
      </c>
      <c r="M15" s="54"/>
      <c r="N15" s="92" t="s">
        <v>52</v>
      </c>
      <c r="O15" s="92" t="s">
        <v>23</v>
      </c>
      <c r="P15" s="92" t="s">
        <v>24</v>
      </c>
      <c r="Q15" s="90" t="s">
        <v>42</v>
      </c>
      <c r="S15" s="80" t="s">
        <v>5</v>
      </c>
      <c r="T15" s="81" t="s">
        <v>26</v>
      </c>
      <c r="U15" s="80" t="s">
        <v>6</v>
      </c>
      <c r="V15" s="82" t="s">
        <v>35</v>
      </c>
      <c r="W15" s="93" t="s">
        <v>34</v>
      </c>
      <c r="X15" s="83" t="s">
        <v>45</v>
      </c>
      <c r="Z15" s="60" t="s">
        <v>49</v>
      </c>
      <c r="AA15" s="43"/>
      <c r="AB15" s="42"/>
      <c r="AC15" s="43"/>
    </row>
    <row r="16" spans="1:39" x14ac:dyDescent="0.25">
      <c r="A16" s="39">
        <v>202</v>
      </c>
      <c r="B16" s="55">
        <v>7.4</v>
      </c>
      <c r="C16" s="45">
        <v>0.6</v>
      </c>
      <c r="D16" s="2">
        <f>0.25*PI()*(A16/1000)^2</f>
        <v>3.2047386659269483E-2</v>
      </c>
      <c r="E16" s="2">
        <f>D16+$B$10</f>
        <v>3.4197386659269483E-2</v>
      </c>
      <c r="F16" s="64">
        <f>C16/(0.5*$B$4*B16^2*E16)</f>
        <v>0.53088622063235924</v>
      </c>
      <c r="G16" s="15">
        <f>B16*(A16/1000)/$B$6</f>
        <v>98406.846609611588</v>
      </c>
      <c r="H16" s="2"/>
      <c r="I16" s="55">
        <v>7.4</v>
      </c>
      <c r="J16" s="45">
        <v>0.06</v>
      </c>
      <c r="K16" s="15">
        <f t="shared" ref="K16" si="0">J16/(0.5*$B$4*I16^2*$B$10)</f>
        <v>0.8444149469322344</v>
      </c>
      <c r="L16" s="15">
        <f>I16*($A$12/1000)/$B$6</f>
        <v>4871.626069782752</v>
      </c>
      <c r="M16" s="5"/>
      <c r="N16" s="15">
        <f>C16-J16</f>
        <v>0.54</v>
      </c>
      <c r="O16" s="56">
        <f>(2*C16)/($B$4*B16^2)</f>
        <v>1.8154921359043039E-2</v>
      </c>
      <c r="P16" s="56">
        <f>2*J16/($B$4*B16^2)</f>
        <v>1.815492135904304E-3</v>
      </c>
      <c r="Q16" s="67">
        <f>(O16-P16)/D16</f>
        <v>0.50985215727138455</v>
      </c>
      <c r="S16" s="15">
        <f>(1-T16^2)^(1/2)</f>
        <v>0.99976805901256094</v>
      </c>
      <c r="T16" s="15">
        <f>B16/$B$8</f>
        <v>2.1536670547147845E-2</v>
      </c>
      <c r="U16" s="62">
        <f>($R$5/(S16^3))*(($R$7/$R$6+$R$6/$R$7)^$R$4)*(PI()*(A16/1000)^3*(1/6)/(2*(A16/1000)))^(1/2)*(D16/($R$8^(3/2)))</f>
        <v>2.4480537886249396E-3</v>
      </c>
      <c r="V16" s="64">
        <f>Q16/(1+U16)^2</f>
        <v>0.50736500301379872</v>
      </c>
      <c r="W16" s="7">
        <f>0.96+1.94*EXP(-0.06*A16/A16)</f>
        <v>2.7870231951534423</v>
      </c>
      <c r="X16" s="97">
        <f>(-1+(1+4*W16*(D16/$R$8)*V16)^(1/2))/(2*W16*D16/$R$8)</f>
        <v>0.48809287262116674</v>
      </c>
      <c r="Z16" s="65">
        <f>(24/G16)*(1+0.15*G16^0.687)+(0.42/(1+42500*(G16^-1.16)))</f>
        <v>0.4917836648425904</v>
      </c>
      <c r="AA16" s="2"/>
      <c r="AB16" s="2"/>
      <c r="AC16" s="2"/>
    </row>
    <row r="17" spans="1:33" x14ac:dyDescent="0.25">
      <c r="A17" s="39">
        <v>202</v>
      </c>
      <c r="B17" s="55">
        <v>37.4</v>
      </c>
      <c r="C17" s="45">
        <v>10.199999999999999</v>
      </c>
      <c r="D17" s="2">
        <f>0.25*PI()*(A17/1000)^2</f>
        <v>3.2047386659269483E-2</v>
      </c>
      <c r="E17" s="2">
        <f t="shared" ref="E17" si="1">D17+$B$10</f>
        <v>3.4197386659269483E-2</v>
      </c>
      <c r="F17" s="64">
        <f>C17/(0.5*$B$4*B17^2*E17)</f>
        <v>0.35332194265712202</v>
      </c>
      <c r="G17" s="15">
        <f>B17*(A17/1000)/$B$6</f>
        <v>497353.52205398289</v>
      </c>
      <c r="I17" s="55">
        <v>37.4</v>
      </c>
      <c r="J17" s="45">
        <v>2.2000000000000002</v>
      </c>
      <c r="K17" s="15">
        <f>J17/(0.5*$B$4*I17^2*$B$10)</f>
        <v>1.2121254716894507</v>
      </c>
      <c r="L17" s="15">
        <f>I17*($A$12/1000)/$B$6</f>
        <v>24621.461487820936</v>
      </c>
      <c r="M17" s="5"/>
      <c r="N17" s="15">
        <f>C17-J17</f>
        <v>7.9999999999999991</v>
      </c>
      <c r="O17" s="56">
        <f>(2*C17)/($B$4*B17^2)</f>
        <v>1.2082687088249843E-2</v>
      </c>
      <c r="P17" s="56">
        <f>2*J17/($B$4*B17^2)</f>
        <v>2.6060697641323194E-3</v>
      </c>
      <c r="Q17" s="67">
        <f>(O17-P17)/D17</f>
        <v>0.2957063995536896</v>
      </c>
      <c r="S17" s="15">
        <f>(1-T17^2)^(1/2)</f>
        <v>0.99405846024130851</v>
      </c>
      <c r="T17" s="15">
        <f>B17/$B$8</f>
        <v>0.1088474970896391</v>
      </c>
      <c r="U17" s="62">
        <f>($R$5/(S17^3))*(($R$7/$R$6+$R$6/$R$7)^$R$4)*(PI()*(A17/1000)^3*(1/6)/(2*(A17/1000)))^(1/2)*(D17/($R$8^(3/2)))</f>
        <v>2.4904793849470142E-3</v>
      </c>
      <c r="V17" s="64">
        <f>Q17/(1+U17)^2</f>
        <v>0.29423898230072476</v>
      </c>
      <c r="W17" s="7">
        <f>0.96+1.94*EXP(-0.06*A17/A17)</f>
        <v>2.7870231951534423</v>
      </c>
      <c r="X17" s="67">
        <f>(-1+(1+4*W17*(D17/$R$8)*V17)^(1/2))/(2*W17*D17/$R$8)</f>
        <v>0.28755012523354007</v>
      </c>
      <c r="Z17" s="65">
        <f>(24/G17)*(1+0.15*G17^0.687)+(0.42/(1+42500*(G17^-1.16)))</f>
        <v>0.47501950529763337</v>
      </c>
      <c r="AA17" s="2"/>
      <c r="AB17" s="2"/>
      <c r="AC17" s="2"/>
    </row>
    <row r="18" spans="1:33" x14ac:dyDescent="0.25">
      <c r="A18" s="1"/>
      <c r="B18" s="56"/>
      <c r="C18" s="2"/>
      <c r="D18" s="2"/>
      <c r="E18" s="2"/>
      <c r="F18" s="67"/>
      <c r="G18" s="56"/>
      <c r="H18" s="1"/>
      <c r="I18" s="56"/>
      <c r="J18" s="2"/>
      <c r="K18" s="15"/>
      <c r="L18" s="15"/>
      <c r="M18" s="5"/>
      <c r="N18" s="15"/>
      <c r="O18" s="56"/>
      <c r="P18" s="56"/>
      <c r="Q18" s="67"/>
      <c r="S18" s="15"/>
      <c r="T18" s="15"/>
      <c r="U18" s="62"/>
      <c r="V18" s="64"/>
      <c r="W18" s="7"/>
      <c r="X18" s="67"/>
      <c r="Z18" s="65"/>
      <c r="AA18" s="2"/>
      <c r="AB18" s="2"/>
      <c r="AC18" s="2"/>
    </row>
    <row r="19" spans="1:3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3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3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3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3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3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3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3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3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3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3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3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33" x14ac:dyDescent="0.25">
      <c r="AB31" s="2"/>
      <c r="AC31" s="1"/>
      <c r="AD31" s="1"/>
      <c r="AE31" s="1"/>
      <c r="AF31" s="1"/>
      <c r="AG31" s="1"/>
    </row>
    <row r="32" spans="1:33" x14ac:dyDescent="0.25">
      <c r="B32" s="61"/>
      <c r="AB32" s="1"/>
      <c r="AC32" s="1"/>
      <c r="AD32" s="1"/>
      <c r="AE32" s="1"/>
      <c r="AF32" s="1"/>
      <c r="AG32" s="1"/>
    </row>
    <row r="33" spans="2:33" x14ac:dyDescent="0.25">
      <c r="B33" s="61"/>
      <c r="AB33" s="1"/>
      <c r="AC33" s="1"/>
      <c r="AD33" s="1"/>
      <c r="AE33" s="1"/>
      <c r="AF33" s="1"/>
      <c r="AG33" s="1"/>
    </row>
    <row r="34" spans="2:33" x14ac:dyDescent="0.25">
      <c r="B34" s="61"/>
      <c r="AB34" s="1"/>
      <c r="AC34" s="1"/>
      <c r="AD34" s="1"/>
      <c r="AE34" s="1"/>
      <c r="AF34" s="1"/>
      <c r="AG34" s="1"/>
    </row>
    <row r="35" spans="2:33" x14ac:dyDescent="0.25">
      <c r="B35" s="61"/>
      <c r="AB35" s="1"/>
      <c r="AC35" s="1"/>
      <c r="AD35" s="1"/>
      <c r="AE35" s="1"/>
      <c r="AF35" s="1"/>
      <c r="AG35" s="1"/>
    </row>
    <row r="36" spans="2:33" x14ac:dyDescent="0.25">
      <c r="B36" s="61"/>
    </row>
    <row r="37" spans="2:33" x14ac:dyDescent="0.25">
      <c r="B37" s="61"/>
    </row>
    <row r="38" spans="2:33" x14ac:dyDescent="0.25">
      <c r="B38" s="61"/>
    </row>
    <row r="39" spans="2:33" x14ac:dyDescent="0.25">
      <c r="B39" s="61"/>
    </row>
    <row r="40" spans="2:33" x14ac:dyDescent="0.25">
      <c r="B40" s="61"/>
    </row>
    <row r="41" spans="2:33" x14ac:dyDescent="0.25">
      <c r="B41" s="61"/>
    </row>
    <row r="42" spans="2:33" x14ac:dyDescent="0.25">
      <c r="B42" s="61"/>
    </row>
    <row r="43" spans="2:33" x14ac:dyDescent="0.25">
      <c r="B43" s="61"/>
    </row>
    <row r="44" spans="2:33" x14ac:dyDescent="0.25">
      <c r="B44" s="61"/>
    </row>
    <row r="45" spans="2:33" x14ac:dyDescent="0.25">
      <c r="B45" s="6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workbookViewId="0">
      <selection activeCell="Q3" sqref="Q3"/>
    </sheetView>
  </sheetViews>
  <sheetFormatPr defaultRowHeight="15" x14ac:dyDescent="0.25"/>
  <sheetData>
    <row r="1" spans="1:18" x14ac:dyDescent="0.25">
      <c r="A1" s="58"/>
      <c r="C1" s="44" t="s">
        <v>37</v>
      </c>
    </row>
    <row r="2" spans="1:18" x14ac:dyDescent="0.25">
      <c r="B2" t="s">
        <v>36</v>
      </c>
      <c r="C2" t="s">
        <v>38</v>
      </c>
      <c r="P2">
        <v>300000</v>
      </c>
      <c r="Q2">
        <f>10*(-4.339+1.5809*LOG10(P2)-0.1546*LOG10(P2*P2))</f>
        <v>26.262550996269937</v>
      </c>
    </row>
    <row r="3" spans="1:18" x14ac:dyDescent="0.25">
      <c r="B3">
        <v>2</v>
      </c>
      <c r="C3">
        <v>14.897900177126692</v>
      </c>
      <c r="P3">
        <v>440000</v>
      </c>
      <c r="Q3">
        <f>29.78-53*LOG10(P3)</f>
        <v>-269.32299185376792</v>
      </c>
    </row>
    <row r="4" spans="1:18" x14ac:dyDescent="0.25">
      <c r="B4">
        <v>4</v>
      </c>
      <c r="C4">
        <v>8.3327430777553353</v>
      </c>
      <c r="P4">
        <v>500000</v>
      </c>
      <c r="Q4">
        <f t="shared" ref="Q4:Q9" si="0">0.1*LOG10(P4)-0.49</f>
        <v>7.9897000433601928E-2</v>
      </c>
      <c r="R4" t="s">
        <v>54</v>
      </c>
    </row>
    <row r="5" spans="1:18" x14ac:dyDescent="0.25">
      <c r="B5">
        <v>6</v>
      </c>
      <c r="C5">
        <v>6.0547446100057973</v>
      </c>
      <c r="P5">
        <v>600000</v>
      </c>
      <c r="Q5">
        <f t="shared" si="0"/>
        <v>8.7815125038364417E-2</v>
      </c>
    </row>
    <row r="6" spans="1:18" x14ac:dyDescent="0.25">
      <c r="B6">
        <v>8</v>
      </c>
      <c r="C6">
        <v>4.8778497062052883</v>
      </c>
      <c r="P6">
        <v>700000</v>
      </c>
      <c r="Q6">
        <f t="shared" si="0"/>
        <v>9.4509804001425723E-2</v>
      </c>
    </row>
    <row r="7" spans="1:18" x14ac:dyDescent="0.25">
      <c r="B7">
        <v>10</v>
      </c>
      <c r="C7">
        <v>4.1512087353839187</v>
      </c>
      <c r="P7">
        <v>800000</v>
      </c>
      <c r="Q7">
        <f t="shared" si="0"/>
        <v>0.10030899869919441</v>
      </c>
    </row>
    <row r="8" spans="1:18" x14ac:dyDescent="0.25">
      <c r="B8">
        <v>20</v>
      </c>
      <c r="C8">
        <v>2.6098677387569453</v>
      </c>
      <c r="P8">
        <v>900000</v>
      </c>
      <c r="Q8">
        <f t="shared" si="0"/>
        <v>0.1054242509439326</v>
      </c>
    </row>
    <row r="9" spans="1:18" x14ac:dyDescent="0.25">
      <c r="B9">
        <v>40</v>
      </c>
      <c r="C9">
        <v>1.7353510969020252</v>
      </c>
      <c r="P9">
        <v>1000000</v>
      </c>
      <c r="Q9">
        <f t="shared" si="0"/>
        <v>0.1100000000000001</v>
      </c>
    </row>
    <row r="10" spans="1:18" x14ac:dyDescent="0.25">
      <c r="B10">
        <v>60</v>
      </c>
      <c r="C10">
        <v>1.4005426853330092</v>
      </c>
    </row>
    <row r="11" spans="1:18" x14ac:dyDescent="0.25">
      <c r="B11">
        <v>80</v>
      </c>
      <c r="C11">
        <v>1.214933822374322</v>
      </c>
    </row>
    <row r="12" spans="1:18" x14ac:dyDescent="0.25">
      <c r="B12">
        <v>100</v>
      </c>
      <c r="C12">
        <v>1.0937857067991494</v>
      </c>
    </row>
    <row r="13" spans="1:18" x14ac:dyDescent="0.25">
      <c r="B13">
        <v>200</v>
      </c>
      <c r="C13">
        <v>0.81017831620557079</v>
      </c>
    </row>
    <row r="14" spans="1:18" x14ac:dyDescent="0.25">
      <c r="B14">
        <v>400</v>
      </c>
      <c r="C14">
        <v>0.62195938700086262</v>
      </c>
    </row>
    <row r="15" spans="1:18" x14ac:dyDescent="0.25">
      <c r="B15">
        <v>600</v>
      </c>
      <c r="C15">
        <v>0.54199480174107539</v>
      </c>
    </row>
    <row r="16" spans="1:18" x14ac:dyDescent="0.25">
      <c r="B16">
        <v>800</v>
      </c>
      <c r="C16">
        <v>0.49609810087704487</v>
      </c>
    </row>
    <row r="17" spans="2:3" x14ac:dyDescent="0.25">
      <c r="B17">
        <v>1000</v>
      </c>
      <c r="C17">
        <v>0.46615239897966471</v>
      </c>
    </row>
    <row r="18" spans="2:3" x14ac:dyDescent="0.25">
      <c r="B18">
        <v>2000</v>
      </c>
      <c r="C18">
        <v>0.40303891209830039</v>
      </c>
    </row>
    <row r="19" spans="2:3" x14ac:dyDescent="0.25">
      <c r="B19">
        <v>4000</v>
      </c>
      <c r="C19">
        <v>0.38444081576654993</v>
      </c>
    </row>
    <row r="20" spans="2:3" x14ac:dyDescent="0.25">
      <c r="B20">
        <v>6000</v>
      </c>
      <c r="C20">
        <v>0.39257558082762256</v>
      </c>
    </row>
    <row r="21" spans="2:3" x14ac:dyDescent="0.25">
      <c r="B21">
        <v>8000</v>
      </c>
      <c r="C21">
        <v>0.40482750491998371</v>
      </c>
    </row>
    <row r="22" spans="2:3" x14ac:dyDescent="0.25">
      <c r="B22">
        <v>10000</v>
      </c>
      <c r="C22">
        <v>0.41671979437738199</v>
      </c>
    </row>
    <row r="23" spans="2:3" x14ac:dyDescent="0.25">
      <c r="B23">
        <v>20000</v>
      </c>
      <c r="C23">
        <v>0.45594980939305352</v>
      </c>
    </row>
    <row r="24" spans="2:3" x14ac:dyDescent="0.25">
      <c r="B24">
        <v>40000</v>
      </c>
      <c r="C24">
        <v>0.48264339802831474</v>
      </c>
    </row>
    <row r="25" spans="2:3" x14ac:dyDescent="0.25">
      <c r="B25">
        <v>60000</v>
      </c>
      <c r="C25">
        <v>0.48980169156597209</v>
      </c>
    </row>
    <row r="26" spans="2:3" x14ac:dyDescent="0.25">
      <c r="B26">
        <v>80000</v>
      </c>
      <c r="C26">
        <v>0.49170080255445187</v>
      </c>
    </row>
    <row r="27" spans="2:3" x14ac:dyDescent="0.25">
      <c r="B27">
        <v>100000</v>
      </c>
      <c r="C27">
        <v>0.49175222766187954</v>
      </c>
    </row>
    <row r="28" spans="2:3" x14ac:dyDescent="0.25">
      <c r="B28">
        <v>200000</v>
      </c>
      <c r="C28">
        <v>0.48673074018757834</v>
      </c>
    </row>
    <row r="29" spans="2:3" x14ac:dyDescent="0.25">
      <c r="B29">
        <v>300000</v>
      </c>
      <c r="C29">
        <v>0.48181279732503163</v>
      </c>
    </row>
    <row r="30" spans="2:3" x14ac:dyDescent="0.25">
      <c r="B30">
        <v>350000</v>
      </c>
      <c r="C30">
        <v>0.2</v>
      </c>
    </row>
    <row r="31" spans="2:3" x14ac:dyDescent="0.25">
      <c r="B31">
        <v>400000</v>
      </c>
      <c r="C31">
        <v>0.08</v>
      </c>
    </row>
    <row r="32" spans="2:3" x14ac:dyDescent="0.25">
      <c r="B32">
        <v>600000</v>
      </c>
      <c r="C32">
        <v>0.08</v>
      </c>
    </row>
    <row r="33" spans="2:3" x14ac:dyDescent="0.25">
      <c r="B33">
        <v>800000</v>
      </c>
      <c r="C33">
        <v>0.09</v>
      </c>
    </row>
    <row r="34" spans="2:3" x14ac:dyDescent="0.25">
      <c r="B34">
        <v>1000000</v>
      </c>
      <c r="C34">
        <v>0.1</v>
      </c>
    </row>
    <row r="35" spans="2:3" x14ac:dyDescent="0.25">
      <c r="B35">
        <v>2000000</v>
      </c>
      <c r="C35">
        <v>0.15</v>
      </c>
    </row>
    <row r="36" spans="2:3" x14ac:dyDescent="0.25">
      <c r="B36">
        <v>4000000</v>
      </c>
      <c r="C36">
        <v>0.16</v>
      </c>
    </row>
    <row r="37" spans="2:3" x14ac:dyDescent="0.25">
      <c r="B37">
        <v>6000000</v>
      </c>
      <c r="C37">
        <v>0.17</v>
      </c>
    </row>
    <row r="38" spans="2:3" x14ac:dyDescent="0.25">
      <c r="B38">
        <v>8000000</v>
      </c>
      <c r="C38">
        <v>0.18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r:id="rId5">
            <anchor moveWithCells="1" sizeWithCells="1">
              <from>
                <xdr:col>4</xdr:col>
                <xdr:colOff>409575</xdr:colOff>
                <xdr:row>2</xdr:row>
                <xdr:rowOff>38100</xdr:rowOff>
              </from>
              <to>
                <xdr:col>14</xdr:col>
                <xdr:colOff>219075</xdr:colOff>
                <xdr:row>13</xdr:row>
                <xdr:rowOff>152400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F7" activeCellId="1" sqref="B7:B11 F7:F11"/>
    </sheetView>
  </sheetViews>
  <sheetFormatPr defaultRowHeight="15" x14ac:dyDescent="0.25"/>
  <sheetData>
    <row r="2" spans="2:6" ht="16.5" thickBot="1" x14ac:dyDescent="0.3">
      <c r="B2" s="98" t="s">
        <v>13</v>
      </c>
      <c r="C2" s="98"/>
      <c r="D2" s="98"/>
      <c r="E2" s="98"/>
      <c r="F2" s="98"/>
    </row>
    <row r="3" spans="2:6" ht="54.75" x14ac:dyDescent="0.35">
      <c r="B3" s="18" t="s">
        <v>14</v>
      </c>
      <c r="C3" s="19" t="s">
        <v>15</v>
      </c>
      <c r="D3" s="19" t="s">
        <v>17</v>
      </c>
      <c r="E3" s="19" t="s">
        <v>18</v>
      </c>
      <c r="F3" s="20" t="s">
        <v>16</v>
      </c>
    </row>
    <row r="4" spans="2:6" x14ac:dyDescent="0.25">
      <c r="B4" s="11">
        <v>-30</v>
      </c>
      <c r="C4" s="21">
        <v>1.452</v>
      </c>
      <c r="D4" s="22">
        <v>1.5600000000000003E-5</v>
      </c>
      <c r="E4" s="22">
        <v>1.0800000000000002E-5</v>
      </c>
      <c r="F4" s="6">
        <v>312</v>
      </c>
    </row>
    <row r="5" spans="2:6" x14ac:dyDescent="0.25">
      <c r="B5" s="7">
        <v>-20</v>
      </c>
      <c r="C5" s="23">
        <v>1.3939999999999999</v>
      </c>
      <c r="D5" s="24">
        <v>1.6100000000000002E-5</v>
      </c>
      <c r="E5" s="24">
        <v>1.1600000000000001E-5</v>
      </c>
      <c r="F5" s="8">
        <v>319</v>
      </c>
    </row>
    <row r="6" spans="2:6" ht="15.75" thickBot="1" x14ac:dyDescent="0.3">
      <c r="B6" s="25">
        <v>-10</v>
      </c>
      <c r="C6" s="26">
        <v>1.3420000000000001</v>
      </c>
      <c r="D6" s="27">
        <v>1.6699999999999999E-5</v>
      </c>
      <c r="E6" s="27">
        <v>1.2400000000000002E-5</v>
      </c>
      <c r="F6" s="28">
        <v>325</v>
      </c>
    </row>
    <row r="7" spans="2:6" ht="15.75" thickTop="1" x14ac:dyDescent="0.25">
      <c r="B7" s="7">
        <v>0</v>
      </c>
      <c r="C7" s="23">
        <v>1.292</v>
      </c>
      <c r="D7" s="24">
        <v>1.7199999999999998E-5</v>
      </c>
      <c r="E7" s="24">
        <v>1.3300000000000001E-5</v>
      </c>
      <c r="F7" s="8">
        <v>331</v>
      </c>
    </row>
    <row r="8" spans="2:6" x14ac:dyDescent="0.25">
      <c r="B8" s="7">
        <v>10</v>
      </c>
      <c r="C8" s="23">
        <v>1.2470000000000001</v>
      </c>
      <c r="D8" s="24">
        <v>1.7600000000000001E-5</v>
      </c>
      <c r="E8" s="24">
        <v>1.4200000000000001E-5</v>
      </c>
      <c r="F8" s="8">
        <v>337</v>
      </c>
    </row>
    <row r="9" spans="2:6" x14ac:dyDescent="0.25">
      <c r="B9" s="29">
        <v>20</v>
      </c>
      <c r="C9" s="30">
        <v>1.204</v>
      </c>
      <c r="D9" s="31">
        <v>1.8100000000000003E-5</v>
      </c>
      <c r="E9" s="31">
        <v>1.5100000000000001E-5</v>
      </c>
      <c r="F9" s="32">
        <v>343</v>
      </c>
    </row>
    <row r="10" spans="2:6" x14ac:dyDescent="0.25">
      <c r="B10" s="7">
        <v>30</v>
      </c>
      <c r="C10" s="23">
        <v>1.1639999999999999</v>
      </c>
      <c r="D10" s="24">
        <v>1.8600000000000001E-5</v>
      </c>
      <c r="E10" s="24">
        <v>1.6000000000000003E-5</v>
      </c>
      <c r="F10" s="8">
        <v>349</v>
      </c>
    </row>
    <row r="11" spans="2:6" x14ac:dyDescent="0.25">
      <c r="B11" s="7">
        <v>40</v>
      </c>
      <c r="C11" s="23">
        <v>1.127</v>
      </c>
      <c r="D11" s="24">
        <v>1.91E-5</v>
      </c>
      <c r="E11" s="24">
        <v>1.6900000000000001E-5</v>
      </c>
      <c r="F11" s="8">
        <v>355</v>
      </c>
    </row>
    <row r="12" spans="2:6" ht="15.75" thickBot="1" x14ac:dyDescent="0.3">
      <c r="B12" s="25">
        <v>50</v>
      </c>
      <c r="C12" s="26">
        <v>1.0920000000000001</v>
      </c>
      <c r="D12" s="27">
        <v>1.95E-5</v>
      </c>
      <c r="E12" s="27">
        <v>1.7900000000000001E-5</v>
      </c>
      <c r="F12" s="28">
        <v>360</v>
      </c>
    </row>
    <row r="13" spans="2:6" ht="15.75" thickTop="1" x14ac:dyDescent="0.25">
      <c r="B13" s="33">
        <v>60</v>
      </c>
      <c r="C13" s="34">
        <v>1.06</v>
      </c>
      <c r="D13" s="35">
        <v>2.0000000000000002E-5</v>
      </c>
      <c r="E13" s="35">
        <v>1.8900000000000002E-5</v>
      </c>
      <c r="F13" s="36">
        <v>366</v>
      </c>
    </row>
    <row r="14" spans="2:6" x14ac:dyDescent="0.25">
      <c r="B14" s="7">
        <v>70</v>
      </c>
      <c r="C14" s="23">
        <v>1.03</v>
      </c>
      <c r="D14" s="24">
        <v>2.0499999999999997E-5</v>
      </c>
      <c r="E14" s="24">
        <v>1.9900000000000003E-5</v>
      </c>
      <c r="F14" s="8">
        <v>371</v>
      </c>
    </row>
    <row r="15" spans="2:6" ht="15.75" thickBot="1" x14ac:dyDescent="0.3">
      <c r="B15" s="25">
        <v>80</v>
      </c>
      <c r="C15" s="26">
        <v>1</v>
      </c>
      <c r="D15" s="27">
        <v>2.09E-5</v>
      </c>
      <c r="E15" s="27">
        <v>2.09E-5</v>
      </c>
      <c r="F15" s="28">
        <v>377</v>
      </c>
    </row>
    <row r="16" spans="2:6" ht="15.75" thickTop="1" x14ac:dyDescent="0.25">
      <c r="B16" s="7">
        <v>90</v>
      </c>
      <c r="C16" s="23">
        <v>0.97299999999999998</v>
      </c>
      <c r="D16" s="24">
        <v>2.1299999999999999E-5</v>
      </c>
      <c r="E16" s="24">
        <v>2.19E-5</v>
      </c>
      <c r="F16" s="8">
        <v>382</v>
      </c>
    </row>
    <row r="17" spans="2:6" x14ac:dyDescent="0.25">
      <c r="B17" s="7">
        <v>100</v>
      </c>
      <c r="C17" s="23">
        <v>0.94599999999999995</v>
      </c>
      <c r="D17" s="24">
        <v>2.1699999999999999E-5</v>
      </c>
      <c r="E17" s="24">
        <v>2.3E-5</v>
      </c>
      <c r="F17" s="8">
        <v>387</v>
      </c>
    </row>
    <row r="18" spans="2:6" x14ac:dyDescent="0.25">
      <c r="B18" s="7">
        <v>200</v>
      </c>
      <c r="C18" s="23">
        <v>0.746</v>
      </c>
      <c r="D18" s="24">
        <v>2.5699999999999998E-5</v>
      </c>
      <c r="E18" s="24">
        <v>3.4500000000000005E-5</v>
      </c>
      <c r="F18" s="8">
        <v>436</v>
      </c>
    </row>
    <row r="19" spans="2:6" x14ac:dyDescent="0.25">
      <c r="B19" s="9">
        <v>300</v>
      </c>
      <c r="C19" s="37">
        <v>0.61599999999999999</v>
      </c>
      <c r="D19" s="38">
        <v>2.9300000000000004E-5</v>
      </c>
      <c r="E19" s="38">
        <v>4.7500000000000003E-5</v>
      </c>
      <c r="F19" s="10">
        <v>480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zoomScale="75" zoomScaleNormal="75" workbookViewId="0">
      <selection activeCell="C17" sqref="C17"/>
    </sheetView>
  </sheetViews>
  <sheetFormatPr defaultRowHeight="15" x14ac:dyDescent="0.25"/>
  <cols>
    <col min="6" max="6" width="9.85546875" customWidth="1"/>
    <col min="11" max="11" width="10.85546875" customWidth="1"/>
    <col min="20" max="20" width="11.42578125" customWidth="1"/>
    <col min="21" max="22" width="12.85546875" customWidth="1"/>
    <col min="23" max="23" width="15.140625" customWidth="1"/>
    <col min="27" max="27" width="15.5703125" customWidth="1"/>
    <col min="28" max="28" width="16.140625" customWidth="1"/>
    <col min="29" max="29" width="13.42578125" customWidth="1"/>
    <col min="32" max="32" width="13.140625" customWidth="1"/>
    <col min="33" max="33" width="17.85546875" customWidth="1"/>
    <col min="36" max="36" width="14.140625" customWidth="1"/>
    <col min="39" max="39" width="13" customWidth="1"/>
  </cols>
  <sheetData>
    <row r="1" spans="1:39" x14ac:dyDescent="0.25">
      <c r="A1" s="66" t="s">
        <v>43</v>
      </c>
      <c r="B1" s="66"/>
      <c r="C1" s="66"/>
      <c r="D1" s="66"/>
      <c r="E1" s="66"/>
      <c r="F1" s="66"/>
      <c r="G1" s="66"/>
      <c r="H1" s="66"/>
    </row>
    <row r="2" spans="1:39" x14ac:dyDescent="0.25">
      <c r="A2" s="57" t="s">
        <v>47</v>
      </c>
    </row>
    <row r="3" spans="1:39" ht="18" x14ac:dyDescent="0.35">
      <c r="A3" s="17" t="s">
        <v>10</v>
      </c>
      <c r="B3" s="17" t="s">
        <v>11</v>
      </c>
      <c r="D3" s="46"/>
      <c r="E3" s="46"/>
      <c r="Q3" s="57" t="s">
        <v>46</v>
      </c>
    </row>
    <row r="4" spans="1:39" x14ac:dyDescent="0.25">
      <c r="A4" s="48">
        <v>21</v>
      </c>
      <c r="B4" s="47">
        <f>A6/(287*(A4+273.15))</f>
        <v>1.2002338279374636</v>
      </c>
      <c r="Q4" s="14" t="s">
        <v>33</v>
      </c>
      <c r="R4" s="14">
        <v>1</v>
      </c>
      <c r="S4" s="14" t="s">
        <v>31</v>
      </c>
      <c r="T4" s="2"/>
      <c r="AE4" s="2"/>
      <c r="AF4" s="2"/>
    </row>
    <row r="5" spans="1:39" ht="18" x14ac:dyDescent="0.35">
      <c r="A5" s="17" t="s">
        <v>8</v>
      </c>
      <c r="B5" s="17" t="s">
        <v>19</v>
      </c>
      <c r="H5" s="12"/>
      <c r="I5" s="12"/>
      <c r="J5" s="13"/>
      <c r="K5" s="13"/>
      <c r="Q5" s="14" t="s">
        <v>32</v>
      </c>
      <c r="R5" s="14">
        <v>0.41</v>
      </c>
      <c r="S5" s="14" t="s">
        <v>31</v>
      </c>
      <c r="T5" s="3"/>
      <c r="AE5" s="2"/>
      <c r="AF5" s="2"/>
    </row>
    <row r="6" spans="1:39" x14ac:dyDescent="0.25">
      <c r="A6" s="48">
        <v>101325</v>
      </c>
      <c r="B6" s="47">
        <f>0.00000009*Example!A4+0.0000133</f>
        <v>1.519E-5</v>
      </c>
      <c r="H6" s="12"/>
      <c r="I6" s="12"/>
      <c r="J6" s="13"/>
      <c r="K6" s="13"/>
      <c r="Q6" s="14" t="s">
        <v>28</v>
      </c>
      <c r="R6" s="14">
        <v>0.90500000000000003</v>
      </c>
      <c r="S6" s="14" t="s">
        <v>4</v>
      </c>
      <c r="T6" s="4"/>
      <c r="AE6" s="2"/>
      <c r="AF6" s="2"/>
    </row>
    <row r="7" spans="1:39" x14ac:dyDescent="0.25">
      <c r="A7" s="17"/>
      <c r="B7" s="46" t="s">
        <v>27</v>
      </c>
      <c r="H7" s="12"/>
      <c r="I7" s="12"/>
      <c r="J7" s="13"/>
      <c r="K7" s="13"/>
      <c r="Q7" s="14" t="s">
        <v>29</v>
      </c>
      <c r="R7" s="14">
        <v>1.22</v>
      </c>
      <c r="S7" s="14" t="s">
        <v>4</v>
      </c>
      <c r="T7" s="4"/>
      <c r="AE7" s="2"/>
      <c r="AF7" s="2"/>
    </row>
    <row r="8" spans="1:39" ht="17.25" x14ac:dyDescent="0.25">
      <c r="A8" s="48"/>
      <c r="B8">
        <f>0.6*A4+331</f>
        <v>343.6</v>
      </c>
      <c r="H8" s="12"/>
      <c r="I8" s="12"/>
      <c r="J8" s="13"/>
      <c r="K8" s="13"/>
      <c r="Q8" s="16" t="s">
        <v>30</v>
      </c>
      <c r="R8" s="16">
        <f>R6*R7</f>
        <v>1.1041000000000001</v>
      </c>
      <c r="S8" s="16" t="s">
        <v>7</v>
      </c>
      <c r="U8" s="5"/>
    </row>
    <row r="9" spans="1:39" x14ac:dyDescent="0.25">
      <c r="A9" s="17" t="s">
        <v>20</v>
      </c>
      <c r="B9" s="17" t="s">
        <v>22</v>
      </c>
      <c r="H9" s="12"/>
      <c r="I9" s="12"/>
      <c r="J9" s="13"/>
      <c r="K9" s="13"/>
      <c r="Q9" s="52"/>
      <c r="R9" s="52"/>
      <c r="S9" s="52"/>
    </row>
    <row r="10" spans="1:39" x14ac:dyDescent="0.25">
      <c r="A10" s="48">
        <v>162</v>
      </c>
      <c r="B10" s="49">
        <f>A10*A12*0.000001</f>
        <v>1.2959999999999998E-3</v>
      </c>
      <c r="H10" s="12"/>
      <c r="I10" s="12"/>
      <c r="J10" s="13"/>
      <c r="K10" s="13"/>
      <c r="Q10" s="2"/>
      <c r="R10" s="2"/>
      <c r="S10" s="2"/>
    </row>
    <row r="11" spans="1:39" x14ac:dyDescent="0.25">
      <c r="A11" s="17" t="s">
        <v>21</v>
      </c>
      <c r="B11" s="17"/>
      <c r="H11" s="2"/>
      <c r="I11" s="2"/>
      <c r="J11" s="13"/>
      <c r="K11" s="13"/>
      <c r="Q11" s="63"/>
      <c r="R11" s="52"/>
      <c r="S11" s="52"/>
      <c r="AH11" s="2"/>
      <c r="AI11" s="2"/>
      <c r="AJ11" s="2"/>
      <c r="AK11" s="2"/>
      <c r="AL11" s="2"/>
      <c r="AM11" s="2"/>
    </row>
    <row r="12" spans="1:39" ht="21" x14ac:dyDescent="0.35">
      <c r="A12" s="50">
        <v>8</v>
      </c>
      <c r="B12" s="51"/>
      <c r="H12" s="12"/>
      <c r="I12" s="12"/>
      <c r="J12" s="13"/>
      <c r="K12" s="13"/>
      <c r="Q12" s="52"/>
      <c r="R12" s="52"/>
      <c r="S12" s="52"/>
      <c r="AH12" s="40"/>
      <c r="AI12" s="2"/>
      <c r="AJ12" s="41"/>
      <c r="AK12" s="40"/>
      <c r="AL12" s="2"/>
      <c r="AM12" s="2"/>
    </row>
    <row r="13" spans="1:39" s="2" customFormat="1" ht="21" x14ac:dyDescent="0.35">
      <c r="H13" s="12"/>
      <c r="I13" s="12"/>
      <c r="J13" s="13"/>
      <c r="K13" s="13"/>
      <c r="AA13" s="52"/>
      <c r="AB13" s="52"/>
      <c r="AC13" s="52"/>
      <c r="AH13" s="40"/>
      <c r="AJ13" s="41"/>
      <c r="AK13" s="40"/>
    </row>
    <row r="14" spans="1:39" ht="21" x14ac:dyDescent="0.35">
      <c r="A14" s="96" t="s">
        <v>12</v>
      </c>
      <c r="B14" s="68"/>
      <c r="C14" s="68"/>
      <c r="D14" s="68"/>
      <c r="E14" s="68"/>
      <c r="F14" s="68"/>
      <c r="G14" s="69"/>
      <c r="H14" s="2"/>
      <c r="I14" s="95" t="s">
        <v>40</v>
      </c>
      <c r="J14" s="70"/>
      <c r="K14" s="70"/>
      <c r="L14" s="71"/>
      <c r="M14" s="53"/>
      <c r="N14" s="94" t="s">
        <v>41</v>
      </c>
      <c r="O14" s="72"/>
      <c r="P14" s="73"/>
      <c r="Q14" s="74"/>
      <c r="S14" s="75" t="s">
        <v>44</v>
      </c>
      <c r="T14" s="76"/>
      <c r="U14" s="77"/>
      <c r="V14" s="76"/>
      <c r="W14" s="76"/>
      <c r="X14" s="78"/>
      <c r="Y14" s="40"/>
      <c r="Z14" s="59" t="s">
        <v>48</v>
      </c>
      <c r="AA14" s="41"/>
      <c r="AB14" s="2"/>
      <c r="AC14" s="2"/>
    </row>
    <row r="15" spans="1:39" ht="69" customHeight="1" x14ac:dyDescent="0.25">
      <c r="A15" s="91" t="s">
        <v>50</v>
      </c>
      <c r="B15" s="84" t="s">
        <v>9</v>
      </c>
      <c r="C15" s="85" t="s">
        <v>39</v>
      </c>
      <c r="D15" s="85" t="s">
        <v>51</v>
      </c>
      <c r="E15" s="91" t="s">
        <v>25</v>
      </c>
      <c r="F15" s="86" t="s">
        <v>1</v>
      </c>
      <c r="G15" s="86" t="s">
        <v>2</v>
      </c>
      <c r="H15" s="2"/>
      <c r="I15" s="87" t="s">
        <v>3</v>
      </c>
      <c r="J15" s="88" t="s">
        <v>0</v>
      </c>
      <c r="K15" s="89" t="s">
        <v>1</v>
      </c>
      <c r="L15" s="89" t="s">
        <v>2</v>
      </c>
      <c r="M15" s="54"/>
      <c r="N15" s="92" t="s">
        <v>52</v>
      </c>
      <c r="O15" s="92" t="s">
        <v>23</v>
      </c>
      <c r="P15" s="92" t="s">
        <v>24</v>
      </c>
      <c r="Q15" s="90" t="s">
        <v>42</v>
      </c>
      <c r="S15" s="80" t="s">
        <v>5</v>
      </c>
      <c r="T15" s="81" t="s">
        <v>26</v>
      </c>
      <c r="U15" s="80" t="s">
        <v>6</v>
      </c>
      <c r="V15" s="82" t="s">
        <v>35</v>
      </c>
      <c r="W15" s="93" t="s">
        <v>34</v>
      </c>
      <c r="X15" s="83" t="s">
        <v>45</v>
      </c>
      <c r="Z15" s="60" t="s">
        <v>49</v>
      </c>
      <c r="AA15" s="43"/>
      <c r="AB15" s="42"/>
      <c r="AC15" s="43"/>
    </row>
    <row r="16" spans="1:39" x14ac:dyDescent="0.25">
      <c r="A16">
        <v>47</v>
      </c>
      <c r="B16" s="55">
        <v>8.8000000000000007</v>
      </c>
      <c r="C16" s="45">
        <v>0.09</v>
      </c>
      <c r="D16" s="2">
        <f>0.25*PI()*(A16/1000)^2</f>
        <v>1.7349445429449633E-3</v>
      </c>
      <c r="E16" s="2">
        <f>D16+$B$10</f>
        <v>3.0309445429449631E-3</v>
      </c>
      <c r="F16" s="64">
        <f>C16/(0.5*$B$4*B16^2*E16)</f>
        <v>0.63894475241116877</v>
      </c>
      <c r="G16" s="15">
        <f>B16*(A16/1000)/$B$6</f>
        <v>27228.439763001978</v>
      </c>
      <c r="H16" s="2"/>
      <c r="I16" s="55">
        <v>8.8000000000000007</v>
      </c>
      <c r="J16" s="45">
        <v>4.9000000000000002E-2</v>
      </c>
      <c r="K16" s="15">
        <f t="shared" ref="K16:K18" si="0">J16/(0.5*$B$4*I16^2*$B$10)</f>
        <v>0.81356052312786098</v>
      </c>
      <c r="L16" s="15">
        <f>I16*($A$12/1000)/$B$6</f>
        <v>4634.6280447662939</v>
      </c>
      <c r="M16" s="5"/>
      <c r="N16" s="15">
        <f>C16-J16</f>
        <v>4.0999999999999995E-2</v>
      </c>
      <c r="O16" s="56">
        <f>(2*C16)/($B$4*B16^2)</f>
        <v>1.9366061105639527E-3</v>
      </c>
      <c r="P16" s="56">
        <f>2*J16/($B$4*B16^2)</f>
        <v>1.0543744379737077E-3</v>
      </c>
      <c r="Q16" s="67">
        <f>(O16-P16)/D16</f>
        <v>0.50850713135343806</v>
      </c>
      <c r="S16" s="15">
        <f>(1-T16^2)^(1/2)</f>
        <v>0.99967198003888702</v>
      </c>
      <c r="T16" s="15">
        <f>B16/$B$8</f>
        <v>2.5611175785797441E-2</v>
      </c>
      <c r="U16" s="62">
        <f>($R$5/(S16^3))*(($R$7/$R$6+$R$6/$R$7)^$R$4)*(PI()*(A16/1000)^3*(1/6)/(2*(A16/1000)))^(1/2)*(D16/($R$8^(3/2)))</f>
        <v>3.0845061189688387E-5</v>
      </c>
      <c r="V16" s="64">
        <f>Q16/(1+U16)^2</f>
        <v>0.50847576293762264</v>
      </c>
      <c r="W16" s="7">
        <f>0.96+1.94*EXP(-0.06*A16/A16)</f>
        <v>2.7870231951534423</v>
      </c>
      <c r="X16" s="79">
        <f>(-1+(1+4*W16*(D16/$R$8)*V16)^(1/2))/(2*W16*D16/$R$8)</f>
        <v>0.50734848629491958</v>
      </c>
      <c r="Z16" s="65">
        <f>(24/G16)*(1+0.15*G16^0.687)+(0.42/(1+42500*(G16^-1.16)))</f>
        <v>0.47009238959896743</v>
      </c>
      <c r="AA16" s="2"/>
      <c r="AB16" s="2"/>
      <c r="AC16" s="2"/>
    </row>
    <row r="17" spans="1:33" x14ac:dyDescent="0.25">
      <c r="A17">
        <v>57</v>
      </c>
      <c r="B17" s="55">
        <v>9</v>
      </c>
      <c r="C17" s="45">
        <v>0.112</v>
      </c>
      <c r="D17" s="2">
        <f t="shared" ref="D17:D18" si="1">0.25*PI()*(A17/1000)^2</f>
        <v>2.5517586328783095E-3</v>
      </c>
      <c r="E17" s="2">
        <f t="shared" ref="E17:E18" si="2">D17+$B$10</f>
        <v>3.8477586328783094E-3</v>
      </c>
      <c r="F17" s="64">
        <f t="shared" ref="F17:F18" si="3">C17/(0.5*$B$4*B17^2*E17)</f>
        <v>0.59881037352151711</v>
      </c>
      <c r="G17" s="15">
        <f t="shared" ref="G17:G18" si="4">B17*(A17/1000)/$B$6</f>
        <v>33772.218564845294</v>
      </c>
      <c r="I17" s="55">
        <v>8.8000000000000007</v>
      </c>
      <c r="J17" s="45">
        <v>4.9000000000000002E-2</v>
      </c>
      <c r="K17" s="15">
        <f t="shared" si="0"/>
        <v>0.81356052312786098</v>
      </c>
      <c r="L17" s="15">
        <f t="shared" ref="L17:L18" si="5">I17*($A$12/1000)/$B$6</f>
        <v>4634.6280447662939</v>
      </c>
      <c r="M17" s="5"/>
      <c r="N17" s="15">
        <f t="shared" ref="N17:N18" si="6">C17-J17</f>
        <v>6.3E-2</v>
      </c>
      <c r="O17" s="56">
        <f>(2*C17)/($B$4*B17^2)</f>
        <v>2.3040777841745025E-3</v>
      </c>
      <c r="P17" s="56">
        <f>2*J17/($B$4*B17^2)</f>
        <v>1.0080340305763449E-3</v>
      </c>
      <c r="Q17" s="67">
        <f>(O17-P17)/D17</f>
        <v>0.50790217260331472</v>
      </c>
      <c r="S17" s="15">
        <f t="shared" ref="S17:S18" si="7">(1-T17^2)^(1/2)</f>
        <v>0.99965689802109703</v>
      </c>
      <c r="T17" s="15">
        <f>B17/$B$8</f>
        <v>2.6193247962747378E-2</v>
      </c>
      <c r="U17" s="62">
        <f>($R$5/(S17^3))*(($R$7/$R$6+$R$6/$R$7)^$R$4)*(PI()*(A17/1000)^3*(1/6)/(2*(A17/1000)))^(1/2)*(D17/($R$8^(3/2)))</f>
        <v>5.5021989039640857E-5</v>
      </c>
      <c r="V17" s="64">
        <f>Q17/(1+U17)^2</f>
        <v>0.50784628564032652</v>
      </c>
      <c r="W17" s="7">
        <f>0.96+1.94*EXP(-0.06*A17/A17)</f>
        <v>2.7870231951534423</v>
      </c>
      <c r="X17" s="79">
        <f>(-1+(1+4*W17*(D17/$R$8)*V17)^(1/2))/(2*W17*D17/$R$8)</f>
        <v>0.50619581098506072</v>
      </c>
      <c r="Z17" s="65">
        <f>(24/G17)*(1+0.15*G17^0.687)+(0.42/(1+42500*(G17^-1.16)))</f>
        <v>0.47784274902224239</v>
      </c>
      <c r="AA17" s="2"/>
      <c r="AB17" s="2"/>
      <c r="AC17" s="2"/>
    </row>
    <row r="18" spans="1:33" x14ac:dyDescent="0.25">
      <c r="A18">
        <v>86</v>
      </c>
      <c r="B18" s="55">
        <v>9</v>
      </c>
      <c r="C18" s="45">
        <v>0.2016</v>
      </c>
      <c r="D18" s="2">
        <f t="shared" si="1"/>
        <v>5.8088048164875268E-3</v>
      </c>
      <c r="E18" s="2">
        <f t="shared" si="2"/>
        <v>7.1048048164875262E-3</v>
      </c>
      <c r="F18" s="64">
        <f t="shared" si="3"/>
        <v>0.58373736065060078</v>
      </c>
      <c r="G18" s="15">
        <f t="shared" si="4"/>
        <v>50954.575378538502</v>
      </c>
      <c r="I18" s="55">
        <v>8.8000000000000007</v>
      </c>
      <c r="J18" s="45">
        <v>4.9000000000000002E-2</v>
      </c>
      <c r="K18" s="15">
        <f t="shared" si="0"/>
        <v>0.81356052312786098</v>
      </c>
      <c r="L18" s="15">
        <f t="shared" si="5"/>
        <v>4634.6280447662939</v>
      </c>
      <c r="M18" s="5"/>
      <c r="N18" s="15">
        <f t="shared" si="6"/>
        <v>0.15260000000000001</v>
      </c>
      <c r="O18" s="56">
        <f>(2*C18)/($B$4*B18^2)</f>
        <v>4.1473400115141041E-3</v>
      </c>
      <c r="P18" s="56">
        <f>2*J18/($B$4*B18^2)</f>
        <v>1.0080340305763449E-3</v>
      </c>
      <c r="Q18" s="67">
        <f>(O18-P18)/D18</f>
        <v>0.54043922633228314</v>
      </c>
      <c r="S18" s="15">
        <f t="shared" si="7"/>
        <v>0.99965689802109703</v>
      </c>
      <c r="T18" s="15">
        <f>B18/$B$8</f>
        <v>2.6193247962747378E-2</v>
      </c>
      <c r="U18" s="62">
        <f>($R$5/(S18^3))*(($R$7/$R$6+$R$6/$R$7)^$R$4)*(PI()*(A18/1000)^3*(1/6)/(2*(A18/1000)))^(1/2)*(D18/($R$8^(3/2)))</f>
        <v>1.8897618301230498E-4</v>
      </c>
      <c r="V18" s="64">
        <f>Q18/(1+U18)^2</f>
        <v>0.54023502393390599</v>
      </c>
      <c r="W18" s="7">
        <f>0.96+1.94*EXP(-0.06*A18/A18)</f>
        <v>2.7870231951534423</v>
      </c>
      <c r="X18" s="79">
        <f>(-1+(1+4*W18*(D18/$R$8)*V18)^(1/2))/(2*W18*D18/$R$8)</f>
        <v>0.53602209301812553</v>
      </c>
      <c r="Z18" s="65">
        <f>(24/G18)*(1+0.15*G18^0.687)+(0.42/(1+42500*(G18^-1.16)))</f>
        <v>0.48761075321057967</v>
      </c>
      <c r="AA18" s="2"/>
      <c r="AB18" s="2"/>
      <c r="AC18" s="2"/>
    </row>
    <row r="19" spans="1:3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3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3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3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3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3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3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3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3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3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3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3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33" x14ac:dyDescent="0.25">
      <c r="AB31" s="2"/>
      <c r="AC31" s="1"/>
      <c r="AD31" s="1"/>
      <c r="AE31" s="1"/>
      <c r="AF31" s="1"/>
      <c r="AG31" s="1"/>
    </row>
    <row r="32" spans="1:33" x14ac:dyDescent="0.25">
      <c r="B32" s="61"/>
      <c r="AB32" s="1"/>
      <c r="AC32" s="1"/>
      <c r="AD32" s="1"/>
      <c r="AE32" s="1"/>
      <c r="AF32" s="1"/>
      <c r="AG32" s="1"/>
    </row>
    <row r="33" spans="2:33" x14ac:dyDescent="0.25">
      <c r="B33" s="61"/>
      <c r="AB33" s="1"/>
      <c r="AC33" s="1"/>
      <c r="AD33" s="1"/>
      <c r="AE33" s="1"/>
      <c r="AF33" s="1"/>
      <c r="AG33" s="1"/>
    </row>
    <row r="34" spans="2:33" x14ac:dyDescent="0.25">
      <c r="B34" s="61"/>
      <c r="AB34" s="1"/>
      <c r="AC34" s="1"/>
      <c r="AD34" s="1"/>
      <c r="AE34" s="1"/>
      <c r="AF34" s="1"/>
      <c r="AG34" s="1"/>
    </row>
    <row r="35" spans="2:33" x14ac:dyDescent="0.25">
      <c r="B35" s="61"/>
      <c r="AB35" s="1"/>
      <c r="AC35" s="1"/>
      <c r="AD35" s="1"/>
      <c r="AE35" s="1"/>
      <c r="AF35" s="1"/>
      <c r="AG35" s="1"/>
    </row>
    <row r="36" spans="2:33" x14ac:dyDescent="0.25">
      <c r="B36" s="61"/>
    </row>
    <row r="37" spans="2:33" x14ac:dyDescent="0.25">
      <c r="B37" s="61"/>
    </row>
    <row r="38" spans="2:33" x14ac:dyDescent="0.25">
      <c r="B38" s="61"/>
    </row>
    <row r="39" spans="2:33" x14ac:dyDescent="0.25">
      <c r="B39" s="61"/>
    </row>
    <row r="40" spans="2:33" x14ac:dyDescent="0.25">
      <c r="B40" s="61"/>
    </row>
    <row r="41" spans="2:33" x14ac:dyDescent="0.25">
      <c r="B41" s="61"/>
    </row>
    <row r="42" spans="2:33" x14ac:dyDescent="0.25">
      <c r="B42" s="61"/>
    </row>
    <row r="43" spans="2:33" x14ac:dyDescent="0.25">
      <c r="B43" s="61"/>
    </row>
    <row r="44" spans="2:33" x14ac:dyDescent="0.25">
      <c r="B44" s="61"/>
    </row>
    <row r="45" spans="2:33" x14ac:dyDescent="0.25">
      <c r="B45" s="6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Measured data corrections</vt:lpstr>
      <vt:lpstr>Standard sphere data</vt:lpstr>
      <vt:lpstr>Properties of air</vt:lpstr>
      <vt:lpstr>Example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 Sun</dc:creator>
  <cp:lastModifiedBy>Mark Jermy</cp:lastModifiedBy>
  <dcterms:created xsi:type="dcterms:W3CDTF">2015-07-29T02:05:25Z</dcterms:created>
  <dcterms:modified xsi:type="dcterms:W3CDTF">2021-04-27T05:07:06Z</dcterms:modified>
</cp:coreProperties>
</file>